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mc:AlternateContent xmlns:mc="http://schemas.openxmlformats.org/markup-compatibility/2006">
    <mc:Choice Requires="x15">
      <x15ac:absPath xmlns:x15ac="http://schemas.microsoft.com/office/spreadsheetml/2010/11/ac" url="/Users/kemp/Library/CloudStorage/GoogleDrive-kemp@emberscout.com/My Drive/Marketing/JaszRae Marketing Engagement/"/>
    </mc:Choice>
  </mc:AlternateContent>
  <xr:revisionPtr revIDLastSave="0" documentId="13_ncr:1_{CF9832F5-88B5-6E44-BEB5-7940D59B8689}" xr6:coauthVersionLast="47" xr6:coauthVersionMax="47" xr10:uidLastSave="{00000000-0000-0000-0000-000000000000}"/>
  <workbookProtection workbookAlgorithmName="SHA-512" workbookHashValue="GPfdIQt9BPoddXDDaRlNXmO5v20R32ijhhu92s8XaZuBdzfLPGYq+m2T0Q4eAHWph1wACZ37AKsNxbVVL/EgYQ==" workbookSaltValue="avQNQXAz1qjZEAWlJyKr/w==" workbookSpinCount="100000" lockStructure="1"/>
  <bookViews>
    <workbookView xWindow="4720" yWindow="1360" windowWidth="30300" windowHeight="22100" xr2:uid="{00000000-000D-0000-FFFF-FFFF00000000}"/>
  </bookViews>
  <sheets>
    <sheet name="Top Sheet" sheetId="1" r:id="rId1"/>
    <sheet name="Pre-TopSheet" sheetId="2" state="hidden" r:id="rId2"/>
    <sheet name="PrePro" sheetId="3" state="hidden" r:id="rId3"/>
    <sheet name="Production" sheetId="4" state="hidden" r:id="rId4"/>
    <sheet name="Post-Production" sheetId="5" state="hidden" r:id="rId5"/>
    <sheet name="Rates" sheetId="6" state="hidden" r:id="rId6"/>
  </sheets>
  <definedNames>
    <definedName name="AgencyMarkup">'Top Sheet'!$C$16</definedName>
    <definedName name="anim">Rates!$B$15</definedName>
    <definedName name="AsstProd">Rates!$B$3</definedName>
    <definedName name="boards">Rates!$B$16</definedName>
    <definedName name="cdir">Rates!$B$4</definedName>
    <definedName name="Cin">Rates!$B$6</definedName>
    <definedName name="COLLAB">'Top Sheet'!$C$5</definedName>
    <definedName name="color">Rates!$B$14</definedName>
    <definedName name="crafty">Rates!$B$17</definedName>
    <definedName name="dir">Rates!$B$5</definedName>
    <definedName name="edit">Rates!$B$12</definedName>
    <definedName name="Editdays">'Post-Production'!$E$16</definedName>
    <definedName name="ExecProd">Rates!$B$2</definedName>
    <definedName name="gafac">Rates!$B$7</definedName>
    <definedName name="genre">'Top Sheet'!$C$8</definedName>
    <definedName name="grip">Rates!$B$8</definedName>
    <definedName name="HMU">Rates!$B$18</definedName>
    <definedName name="markup">'Pre-TopSheet'!$B$15</definedName>
    <definedName name="pa">Rates!$B$10</definedName>
    <definedName name="prodDesign">Rates!$B$9</definedName>
    <definedName name="ProdValue">'Top Sheet'!$C$10</definedName>
    <definedName name="Range">'Pre-TopSheet'!$B$21</definedName>
    <definedName name="runtime">'Top Sheet'!$C$14</definedName>
    <definedName name="shootdays">'Top Sheet'!$C$12</definedName>
    <definedName name="sound">Rates!$B$11</definedName>
    <definedName name="soundpost">Rates!$B$13</definedName>
    <definedName name="TOTAL_Post">'Post-Production'!$I$1</definedName>
    <definedName name="TOTAL_PrePro">PrePro!$I$1</definedName>
    <definedName name="TOTAL_Prod">Production!$J$1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0" roundtripDataSignature="AMtx7mhN+Q5TJZKwTEc0vtyAzA3eNqKykg=="/>
    </ext>
  </extLst>
</workbook>
</file>

<file path=xl/calcChain.xml><?xml version="1.0" encoding="utf-8"?>
<calcChain xmlns="http://schemas.openxmlformats.org/spreadsheetml/2006/main">
  <c r="D9" i="5" l="1"/>
  <c r="G9" i="5" s="1"/>
  <c r="D17" i="4"/>
  <c r="G17" i="4" s="1"/>
  <c r="C19" i="4"/>
  <c r="D19" i="4"/>
  <c r="G19" i="4" s="1"/>
  <c r="D9" i="4"/>
  <c r="G9" i="4" s="1"/>
  <c r="D12" i="4"/>
  <c r="G12" i="4" s="1"/>
  <c r="D11" i="4"/>
  <c r="G11" i="4" s="1"/>
  <c r="D10" i="4"/>
  <c r="G10" i="4" s="1"/>
  <c r="D16" i="5"/>
  <c r="C16" i="5"/>
  <c r="D4" i="5" a="1"/>
  <c r="D4" i="5" s="1"/>
  <c r="C4" i="5" a="1"/>
  <c r="C4" i="5" s="1"/>
  <c r="F4" i="5" s="1"/>
  <c r="B4" i="5" a="1"/>
  <c r="B4" i="5" s="1"/>
  <c r="E4" i="5" s="1"/>
  <c r="D16" i="4" a="1"/>
  <c r="D16" i="4" s="1"/>
  <c r="C16" i="4" a="1"/>
  <c r="C16" i="4" s="1"/>
  <c r="F16" i="4" s="1"/>
  <c r="B16" i="4" a="1"/>
  <c r="B16" i="4" s="1"/>
  <c r="E16" i="4" s="1"/>
  <c r="D4" i="4" a="1"/>
  <c r="D4" i="4" s="1"/>
  <c r="C4" i="4" a="1"/>
  <c r="C4" i="4" s="1"/>
  <c r="F4" i="4" s="1"/>
  <c r="B4" i="4" a="1"/>
  <c r="B4" i="4" s="1"/>
  <c r="E4" i="4" s="1"/>
  <c r="D5" i="3" a="1"/>
  <c r="D5" i="3" s="1"/>
  <c r="C5" i="3" a="1"/>
  <c r="C5" i="3" s="1"/>
  <c r="F5" i="3" s="1"/>
  <c r="D15" i="3" a="1"/>
  <c r="D15" i="3" s="1"/>
  <c r="C15" i="3" a="1"/>
  <c r="C15" i="3" s="1"/>
  <c r="B15" i="3" a="1"/>
  <c r="B15" i="3" s="1"/>
  <c r="D14" i="3" a="1"/>
  <c r="D14" i="3" s="1"/>
  <c r="C14" i="3" a="1"/>
  <c r="C14" i="3" s="1"/>
  <c r="D16" i="3" a="1"/>
  <c r="D16" i="3" s="1"/>
  <c r="C16" i="3" a="1"/>
  <c r="C16" i="3" s="1"/>
  <c r="B16" i="3" a="1"/>
  <c r="B16" i="3" s="1"/>
  <c r="C4" i="3" a="1"/>
  <c r="C4" i="3" s="1"/>
  <c r="F4" i="3" s="1"/>
  <c r="D4" i="3" a="1"/>
  <c r="D4" i="3" s="1"/>
  <c r="D9" i="3" a="1"/>
  <c r="D9" i="3" s="1"/>
  <c r="C9" i="3" a="1"/>
  <c r="C9" i="3" s="1"/>
  <c r="F9" i="3" s="1"/>
  <c r="B9" i="3" a="1"/>
  <c r="B9" i="3" s="1"/>
  <c r="E9" i="3" s="1"/>
  <c r="B5" i="3" a="1"/>
  <c r="B5" i="3" s="1"/>
  <c r="E5" i="3" s="1"/>
  <c r="B4" i="3" a="1"/>
  <c r="B4" i="3" s="1"/>
  <c r="E4" i="3" s="1"/>
  <c r="B21" i="2" a="1"/>
  <c r="B21" i="2" s="1"/>
  <c r="B15" i="2" a="1"/>
  <c r="B15" i="2" s="1"/>
  <c r="B16" i="5"/>
  <c r="H9" i="5"/>
  <c r="F9" i="5"/>
  <c r="E9" i="5"/>
  <c r="H8" i="5"/>
  <c r="G8" i="5"/>
  <c r="E8" i="5"/>
  <c r="C8" i="5"/>
  <c r="F8" i="5" s="1"/>
  <c r="H7" i="5"/>
  <c r="G7" i="5"/>
  <c r="F7" i="5"/>
  <c r="E7" i="5"/>
  <c r="H6" i="5"/>
  <c r="L5" i="5"/>
  <c r="H5" i="5"/>
  <c r="G5" i="5"/>
  <c r="F5" i="5"/>
  <c r="E5" i="5"/>
  <c r="L4" i="5"/>
  <c r="H4" i="5"/>
  <c r="G4" i="5"/>
  <c r="L3" i="5"/>
  <c r="L2" i="5"/>
  <c r="L1" i="5"/>
  <c r="I33" i="4"/>
  <c r="G33" i="4"/>
  <c r="F33" i="4"/>
  <c r="E33" i="4"/>
  <c r="I32" i="4"/>
  <c r="G32" i="4"/>
  <c r="F32" i="4"/>
  <c r="E32" i="4"/>
  <c r="I31" i="4"/>
  <c r="G31" i="4"/>
  <c r="F31" i="4"/>
  <c r="E31" i="4"/>
  <c r="I29" i="4"/>
  <c r="G29" i="4"/>
  <c r="F29" i="4"/>
  <c r="E29" i="4"/>
  <c r="I28" i="4"/>
  <c r="G28" i="4"/>
  <c r="F28" i="4"/>
  <c r="E28" i="4"/>
  <c r="I27" i="4"/>
  <c r="H27" i="4"/>
  <c r="G27" i="4"/>
  <c r="F27" i="4"/>
  <c r="E27" i="4"/>
  <c r="I26" i="4"/>
  <c r="H26" i="4"/>
  <c r="G26" i="4"/>
  <c r="F26" i="4"/>
  <c r="E26" i="4"/>
  <c r="I25" i="4"/>
  <c r="H25" i="4"/>
  <c r="G25" i="4"/>
  <c r="F25" i="4"/>
  <c r="E25" i="4"/>
  <c r="G24" i="4"/>
  <c r="F24" i="4"/>
  <c r="E24" i="4"/>
  <c r="I23" i="4"/>
  <c r="H23" i="4"/>
  <c r="G23" i="4"/>
  <c r="F23" i="4"/>
  <c r="E23" i="4"/>
  <c r="I19" i="4"/>
  <c r="F19" i="4"/>
  <c r="E19" i="4"/>
  <c r="I17" i="4"/>
  <c r="F17" i="4"/>
  <c r="E17" i="4"/>
  <c r="I16" i="4"/>
  <c r="H16" i="4"/>
  <c r="G16" i="4"/>
  <c r="I15" i="4"/>
  <c r="H15" i="4"/>
  <c r="G15" i="4"/>
  <c r="F15" i="4"/>
  <c r="E15" i="4"/>
  <c r="I14" i="4"/>
  <c r="H14" i="4"/>
  <c r="G14" i="4"/>
  <c r="F14" i="4"/>
  <c r="E14" i="4"/>
  <c r="I13" i="4"/>
  <c r="H13" i="4"/>
  <c r="G13" i="4"/>
  <c r="F13" i="4"/>
  <c r="E13" i="4"/>
  <c r="I12" i="4"/>
  <c r="H12" i="4"/>
  <c r="F12" i="4"/>
  <c r="E12" i="4"/>
  <c r="I11" i="4"/>
  <c r="H11" i="4"/>
  <c r="F11" i="4"/>
  <c r="E11" i="4"/>
  <c r="I10" i="4"/>
  <c r="H10" i="4"/>
  <c r="F10" i="4"/>
  <c r="E10" i="4"/>
  <c r="I9" i="4"/>
  <c r="H9" i="4"/>
  <c r="F9" i="4"/>
  <c r="E9" i="4"/>
  <c r="I8" i="4"/>
  <c r="H8" i="4"/>
  <c r="G8" i="4"/>
  <c r="F8" i="4"/>
  <c r="E8" i="4"/>
  <c r="I7" i="4"/>
  <c r="H7" i="4"/>
  <c r="G7" i="4"/>
  <c r="F7" i="4"/>
  <c r="E7" i="4"/>
  <c r="I6" i="4"/>
  <c r="H6" i="4"/>
  <c r="G6" i="4"/>
  <c r="F6" i="4"/>
  <c r="E6" i="4"/>
  <c r="M5" i="4"/>
  <c r="I5" i="4"/>
  <c r="H5" i="4"/>
  <c r="G5" i="4"/>
  <c r="F5" i="4"/>
  <c r="E5" i="4"/>
  <c r="M4" i="4"/>
  <c r="I4" i="4"/>
  <c r="H4" i="4"/>
  <c r="G4" i="4"/>
  <c r="M3" i="4"/>
  <c r="M2" i="4"/>
  <c r="M1" i="4"/>
  <c r="H16" i="3"/>
  <c r="G16" i="3"/>
  <c r="F16" i="3"/>
  <c r="E16" i="3"/>
  <c r="H15" i="3"/>
  <c r="G15" i="3"/>
  <c r="F15" i="3"/>
  <c r="E15" i="3"/>
  <c r="H14" i="3"/>
  <c r="G14" i="3"/>
  <c r="F14" i="3"/>
  <c r="E14" i="3"/>
  <c r="H13" i="3"/>
  <c r="G13" i="3"/>
  <c r="F13" i="3"/>
  <c r="E13" i="3"/>
  <c r="H9" i="3"/>
  <c r="G9" i="3"/>
  <c r="H8" i="3"/>
  <c r="G8" i="3"/>
  <c r="F8" i="3"/>
  <c r="E8" i="3"/>
  <c r="H7" i="3"/>
  <c r="G7" i="3"/>
  <c r="F7" i="3"/>
  <c r="E7" i="3"/>
  <c r="H6" i="3"/>
  <c r="G6" i="3"/>
  <c r="F6" i="3"/>
  <c r="E6" i="3"/>
  <c r="L5" i="3"/>
  <c r="H5" i="3"/>
  <c r="G5" i="3"/>
  <c r="L4" i="3"/>
  <c r="H4" i="3"/>
  <c r="G4" i="3"/>
  <c r="L3" i="3"/>
  <c r="L2" i="3"/>
  <c r="L1" i="3"/>
  <c r="I9" i="3" l="1"/>
  <c r="I8" i="5"/>
  <c r="J16" i="4"/>
  <c r="J15" i="4"/>
  <c r="I4" i="5"/>
  <c r="J13" i="4"/>
  <c r="I8" i="3"/>
  <c r="J11" i="4"/>
  <c r="I6" i="3"/>
  <c r="I5" i="5"/>
  <c r="J10" i="4"/>
  <c r="J4" i="4"/>
  <c r="I9" i="5"/>
  <c r="J14" i="4"/>
  <c r="I14" i="3"/>
  <c r="J28" i="4"/>
  <c r="J33" i="4"/>
  <c r="J31" i="4"/>
  <c r="J26" i="4"/>
  <c r="J9" i="4"/>
  <c r="J23" i="4"/>
  <c r="J32" i="4"/>
  <c r="I13" i="3"/>
  <c r="I5" i="3"/>
  <c r="J6" i="4"/>
  <c r="J12" i="4"/>
  <c r="J27" i="4"/>
  <c r="I7" i="3"/>
  <c r="J7" i="4"/>
  <c r="J24" i="4"/>
  <c r="I4" i="3"/>
  <c r="J25" i="4"/>
  <c r="I15" i="3"/>
  <c r="J8" i="4"/>
  <c r="J17" i="4"/>
  <c r="E16" i="5"/>
  <c r="D6" i="5" s="1"/>
  <c r="G6" i="5" s="1"/>
  <c r="J29" i="4"/>
  <c r="I7" i="5"/>
  <c r="I16" i="3"/>
  <c r="J5" i="4"/>
  <c r="J19" i="4"/>
  <c r="I1" i="3" l="1"/>
  <c r="B4" i="2" s="1"/>
  <c r="J1" i="4"/>
  <c r="B5" i="2" s="1"/>
  <c r="C6" i="5"/>
  <c r="F6" i="5" s="1"/>
  <c r="B6" i="5"/>
  <c r="E6" i="5" s="1"/>
  <c r="I6" i="5" l="1"/>
  <c r="I1" i="5" s="1"/>
  <c r="B6" i="2" s="1"/>
  <c r="B8" i="2" s="1"/>
  <c r="B7" i="2" l="1" a="1"/>
  <c r="B7" i="2" s="1"/>
  <c r="B10" i="2" s="1"/>
  <c r="C23" i="1" s="1"/>
  <c r="C24" i="1" s="1"/>
  <c r="C25" i="1" s="1"/>
  <c r="B12" i="2" l="1"/>
  <c r="C20" i="1" s="1"/>
  <c r="B11" i="2"/>
  <c r="C1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<sst xmlns="http://schemas.openxmlformats.org/spreadsheetml/2006/main" count="149" uniqueCount="100">
  <si>
    <t>Video Project Budget Estimator</t>
  </si>
  <si>
    <t xml:space="preserve">One of the first things that clients ask when video projects come up is "how much does it cost?" 
And there's never a fast and easy answer to that question, is there? 
Video production is a complex undertaking and each project carries its own unique challenges and opportunities.
But we've done a lot of these. And, with a few quick questions, can give a relatively decent range for what a particular project might cost. 
While this doesn't give your clients a specific dollar value, we find it helps them to figure out what's realistic and where they might be able to start making compromises. </t>
  </si>
  <si>
    <r>
      <rPr>
        <sz val="14"/>
        <color rgb="FFFFFFFF"/>
        <rFont val="Avenir"/>
        <family val="2"/>
      </rPr>
      <t xml:space="preserve">Is the project scripted or unscripted? </t>
    </r>
    <r>
      <rPr>
        <sz val="10"/>
        <color rgb="FFFFFFFF"/>
        <rFont val="Avenir"/>
        <family val="2"/>
      </rPr>
      <t xml:space="preserve">
A scripted project might be a CEO direct address. Or a commercial with dialog between two characters.
Unscripted content is closer to a documentary or testimonial. We won't need to go through casting, hiring, and managing talent.</t>
    </r>
  </si>
  <si>
    <t>Unscripted</t>
  </si>
  <si>
    <r>
      <rPr>
        <sz val="14"/>
        <color rgb="FFFFFFFF"/>
        <rFont val="Avenir"/>
        <family val="2"/>
      </rPr>
      <t>What's your desired production value?</t>
    </r>
    <r>
      <rPr>
        <sz val="10"/>
        <color rgb="FFFFFFFF"/>
        <rFont val="Avenir"/>
        <family val="2"/>
      </rPr>
      <t xml:space="preserve"> 
A 1 is mostly functional - capture the story. A 3 is closer to a broadcast commercial. </t>
    </r>
  </si>
  <si>
    <r>
      <rPr>
        <sz val="14"/>
        <color rgb="FFFFFFFF"/>
        <rFont val="Avenir"/>
        <family val="2"/>
      </rPr>
      <t xml:space="preserve">Any idea how many days it might take to shoot the content we need? </t>
    </r>
    <r>
      <rPr>
        <sz val="10"/>
        <color rgb="FFFFFFFF"/>
        <rFont val="Avenir"/>
        <family val="2"/>
      </rPr>
      <t xml:space="preserve">
If you don't have any idea (which is normal!), think about how many locations might be in the concept you imagine. Typically, we'll shoot at one location per day.</t>
    </r>
  </si>
  <si>
    <r>
      <rPr>
        <sz val="14"/>
        <color rgb="FFFFFFFF"/>
        <rFont val="Avenir"/>
        <family val="2"/>
      </rPr>
      <t>What's the total runtime of all deliverables (in minutes)?</t>
    </r>
    <r>
      <rPr>
        <sz val="10"/>
        <color rgb="FFFFFFFF"/>
        <rFont val="Avenir"/>
        <family val="2"/>
      </rPr>
      <t xml:space="preserve">
Don't just think about the main edit, but any social cutdowns or alternate versions as well. Sometimes, it's worth it to just have one main deliverable. But in today's media-fragmented world, we often create different deliverables for each social platform. Or cutdowns that fit different purposes with different messages. </t>
    </r>
  </si>
  <si>
    <r>
      <rPr>
        <sz val="14"/>
        <color rgb="FFFFFFFF"/>
        <rFont val="Avenir"/>
        <family val="2"/>
      </rPr>
      <t>How much do you think you can mark up video services?</t>
    </r>
    <r>
      <rPr>
        <sz val="10"/>
        <color rgb="FFFFFFFF"/>
        <rFont val="Avenir"/>
        <family val="2"/>
      </rPr>
      <t xml:space="preserve">
Generally, this is between 15% and 30%. But you know what kind of pricing your client can bear. </t>
    </r>
  </si>
  <si>
    <t>Budget Range</t>
  </si>
  <si>
    <t>High Estimate</t>
  </si>
  <si>
    <t>Low Estimate</t>
  </si>
  <si>
    <t>An Average Project in this Range</t>
  </si>
  <si>
    <t>Emberscout charges you</t>
  </si>
  <si>
    <t>You charge your client</t>
  </si>
  <si>
    <t>Pure profit from the sale of this project</t>
  </si>
  <si>
    <t>What Next?</t>
  </si>
  <si>
    <t>Totals</t>
  </si>
  <si>
    <t>Pre-Production</t>
  </si>
  <si>
    <t>Production</t>
  </si>
  <si>
    <t>Post-Production</t>
  </si>
  <si>
    <t>Contingency</t>
  </si>
  <si>
    <t>Markup</t>
  </si>
  <si>
    <t>Total</t>
  </si>
  <si>
    <t>Markup/Contingency</t>
  </si>
  <si>
    <t>High</t>
  </si>
  <si>
    <t>Medium</t>
  </si>
  <si>
    <t>Low</t>
  </si>
  <si>
    <t>Range</t>
  </si>
  <si>
    <t>Pre-production</t>
  </si>
  <si>
    <t>TOTAL</t>
  </si>
  <si>
    <t>genre</t>
  </si>
  <si>
    <t>Prod Val</t>
  </si>
  <si>
    <t>Prod 1</t>
  </si>
  <si>
    <t>Prod 2</t>
  </si>
  <si>
    <t>Prod 3</t>
  </si>
  <si>
    <t>Prod 1 Calc</t>
  </si>
  <si>
    <t>Prod 2 Calc</t>
  </si>
  <si>
    <t>Prod 3 Calc</t>
  </si>
  <si>
    <t>Rate</t>
  </si>
  <si>
    <t>Estimated</t>
  </si>
  <si>
    <t>Creative</t>
  </si>
  <si>
    <t>Exec Producer</t>
  </si>
  <si>
    <t>Prod Days</t>
  </si>
  <si>
    <t>Asst Producer</t>
  </si>
  <si>
    <t>Runtime</t>
  </si>
  <si>
    <t>Cinematographer</t>
  </si>
  <si>
    <t>Gaffer</t>
  </si>
  <si>
    <t>Craft Services</t>
  </si>
  <si>
    <t>Creative Direction</t>
  </si>
  <si>
    <t>Scripted</t>
  </si>
  <si>
    <t>Production Designer</t>
  </si>
  <si>
    <t>Storyboards</t>
  </si>
  <si>
    <t>Casting</t>
  </si>
  <si>
    <t>Creative Direction/Writing</t>
  </si>
  <si>
    <t>Shoot Days</t>
  </si>
  <si>
    <t>Camera Operator</t>
  </si>
  <si>
    <t>1st AC</t>
  </si>
  <si>
    <t>Key Grip</t>
  </si>
  <si>
    <t>Grip</t>
  </si>
  <si>
    <t>Electric</t>
  </si>
  <si>
    <t>PA</t>
  </si>
  <si>
    <t>Sound Recordist</t>
  </si>
  <si>
    <t>Director</t>
  </si>
  <si>
    <t>GEAR</t>
  </si>
  <si>
    <t>Producion Design Budget</t>
  </si>
  <si>
    <t>Art Assist</t>
  </si>
  <si>
    <t>HMU</t>
  </si>
  <si>
    <t>HMU Assist</t>
  </si>
  <si>
    <t>Script Supervisor</t>
  </si>
  <si>
    <t>Location Fees</t>
  </si>
  <si>
    <t>Speaking Talent</t>
  </si>
  <si>
    <t>Background Talent</t>
  </si>
  <si>
    <t>Extras</t>
  </si>
  <si>
    <t>Post-production</t>
  </si>
  <si>
    <t>Post Supervisor</t>
  </si>
  <si>
    <t>Editor</t>
  </si>
  <si>
    <t>Sound Design</t>
  </si>
  <si>
    <t>Color Correction</t>
  </si>
  <si>
    <t>Motion Graphics</t>
  </si>
  <si>
    <t>Editor Calc</t>
  </si>
  <si>
    <t>Ingest/Build</t>
  </si>
  <si>
    <t>Edit</t>
  </si>
  <si>
    <t>Notes</t>
  </si>
  <si>
    <t>Edit Days</t>
  </si>
  <si>
    <t>Asst. Producer</t>
  </si>
  <si>
    <t>Creative Director</t>
  </si>
  <si>
    <t>Gaffer/1st AC</t>
  </si>
  <si>
    <t>Grip/Elec</t>
  </si>
  <si>
    <t>Prod Designer</t>
  </si>
  <si>
    <t>Sound Mixer</t>
  </si>
  <si>
    <t>Sound Post</t>
  </si>
  <si>
    <t>Colorist</t>
  </si>
  <si>
    <t>Animation</t>
  </si>
  <si>
    <t>Storyboard</t>
  </si>
  <si>
    <t>Click here to set up a meeting with our team.</t>
  </si>
  <si>
    <r>
      <rPr>
        <sz val="14"/>
        <color rgb="FFFFFFFF"/>
        <rFont val="Avenir"/>
        <family val="2"/>
      </rPr>
      <t xml:space="preserve">How do you want to collaborate with your production partner? </t>
    </r>
    <r>
      <rPr>
        <sz val="10"/>
        <color rgb="FFFFFFFF"/>
        <rFont val="Avenir"/>
        <family val="2"/>
      </rPr>
      <t xml:space="preserve">
Are you just looking for production services? Or are you looking for a full service approach that includes creative development? Or some kind of hybrid?
</t>
    </r>
  </si>
  <si>
    <t>Full Service</t>
  </si>
  <si>
    <t>1st AD</t>
  </si>
  <si>
    <t>Let's talk! 
This tool is pretty broad (and doesn't include any travel costs, if they're necessary!). A conversation about what kind of project you have in mind can help us shrink these ranges, and, if budget is an issue, find creative ways to fulfill your clients' video needs without breaking the bank.
Emberscout loves working with agency partners (like you!) to craft video project proposals that fit the both your needs and the clients. 
Whether that's having conversations directly with you and your client to further tease out their vision or working with your account managers to ask the right questions to land on a specific budget.</t>
  </si>
  <si>
    <t xml:space="preserve">For more information on this question, check out our info sheet on how we collaborate with agencies here.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</si>
</sst>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quot;$&quot;#,##0"/>
    <numFmt numFmtId="165" formatCode="&quot;$&quot;#,##0.00"/>
    <numFmt numFmtId="166" formatCode="_(&quot;$&quot;* #,##0_);_(&quot;$&quot;* \(#,##0\);_(&quot;$&quot;* &quot;-&quot;??_);_(@_)"/>
  </numFmts>
  <fonts count="23">
    <font>
      <sz val="10"/>
      <color rgb="FF000000"/>
      <name val="Arial"/>
      <scheme val="minor"/>
    </font>
    <font>
      <sz val="10"/>
      <color rgb="FF000000"/>
      <name val="Arial"/>
      <family val="2"/>
    </font>
    <font>
      <sz val="26"/>
      <color rgb="FFFFFFFF"/>
      <name val="Avenir"/>
      <family val="2"/>
    </font>
    <font>
      <sz val="10"/>
      <name val="Arial"/>
      <family val="2"/>
    </font>
    <font>
      <sz val="10"/>
      <color theme="0"/>
      <name val="Avenir"/>
      <family val="2"/>
    </font>
    <font>
      <sz val="10"/>
      <color rgb="FFFFFFFF"/>
      <name val="Avenir"/>
      <family val="2"/>
    </font>
    <font>
      <b/>
      <sz val="12"/>
      <color theme="0"/>
      <name val="Avenir"/>
      <family val="2"/>
    </font>
    <font>
      <sz val="10"/>
      <color rgb="FF000000"/>
      <name val="Avenir"/>
      <family val="2"/>
    </font>
    <font>
      <sz val="12"/>
      <color rgb="FF000000"/>
      <name val="Avenir"/>
      <family val="2"/>
    </font>
    <font>
      <b/>
      <sz val="12"/>
      <color rgb="FFFFFFFF"/>
      <name val="Avenir"/>
      <family val="2"/>
    </font>
    <font>
      <sz val="10"/>
      <color theme="1"/>
      <name val="Avenir"/>
      <family val="2"/>
    </font>
    <font>
      <b/>
      <sz val="14"/>
      <color theme="1"/>
      <name val="Avenir"/>
      <family val="2"/>
    </font>
    <font>
      <sz val="14"/>
      <color rgb="FF000000"/>
      <name val="Avenir"/>
      <family val="2"/>
    </font>
    <font>
      <sz val="12"/>
      <color theme="1"/>
      <name val="Avenir"/>
      <family val="2"/>
    </font>
    <font>
      <sz val="22"/>
      <color rgb="FF000000"/>
      <name val="Avenir"/>
      <family val="2"/>
    </font>
    <font>
      <sz val="10"/>
      <color theme="1"/>
      <name val="Arial"/>
      <family val="2"/>
    </font>
    <font>
      <sz val="11"/>
      <color rgb="FF000000"/>
      <name val="Inconsolata"/>
    </font>
    <font>
      <b/>
      <sz val="10"/>
      <color theme="1"/>
      <name val="Arial"/>
      <family val="2"/>
    </font>
    <font>
      <sz val="14"/>
      <color rgb="FFFFFFFF"/>
      <name val="Avenir"/>
      <family val="2"/>
    </font>
    <font>
      <u/>
      <sz val="10"/>
      <color theme="0"/>
      <name val="Avenir"/>
      <family val="2"/>
    </font>
    <font>
      <u/>
      <sz val="10"/>
      <name val="Arial"/>
      <family val="2"/>
    </font>
    <font>
      <u/>
      <sz val="10"/>
      <color theme="10"/>
      <name val="Arial"/>
      <family val="2"/>
      <scheme val="minor"/>
    </font>
    <font>
      <sz val="10"/>
      <color rgb="FF000000"/>
      <name val="Arial"/>
      <family val="2"/>
      <scheme val="minor"/>
    </font>
  </fonts>
  <fills count="7">
    <fill>
      <patternFill patternType="none"/>
    </fill>
    <fill>
      <patternFill patternType="gray125"/>
    </fill>
    <fill>
      <patternFill patternType="solid">
        <fgColor rgb="FFDB6029"/>
        <bgColor rgb="FFDB6029"/>
      </patternFill>
    </fill>
    <fill>
      <patternFill patternType="solid">
        <fgColor rgb="FF18337B"/>
        <bgColor rgb="FF18337B"/>
      </patternFill>
    </fill>
    <fill>
      <patternFill patternType="solid">
        <fgColor rgb="FFA1B5ED"/>
        <bgColor rgb="FFA1B5ED"/>
      </patternFill>
    </fill>
    <fill>
      <patternFill patternType="solid">
        <fgColor rgb="FFF2C4B0"/>
        <bgColor rgb="FFF2C4B0"/>
      </patternFill>
    </fill>
    <fill>
      <patternFill patternType="solid">
        <fgColor rgb="FFFFFFFF"/>
        <bgColor rgb="FFFFFFFF"/>
      </patternFill>
    </fill>
  </fills>
  <borders count="4">
    <border>
      <left/>
      <right/>
      <top/>
      <bottom/>
      <diagonal/>
    </border>
    <border>
      <left/>
      <right/>
      <top/>
      <bottom/>
      <diagonal/>
    </border>
    <border>
      <left/>
      <right/>
      <top/>
      <bottom/>
      <diagonal/>
    </border>
    <border>
      <left/>
      <right/>
      <top/>
      <bottom/>
      <diagonal/>
    </border>
  </borders>
  <cellStyleXfs count="3">
    <xf numFmtId="0" fontId="0" fillId="0" borderId="0"/>
    <xf numFmtId="0" fontId="21" fillId="0" borderId="0" applyNumberFormat="0" applyFill="0" applyBorder="0" applyAlignment="0" applyProtection="0"/>
    <xf numFmtId="44" fontId="22" fillId="0" borderId="0" applyFont="0" applyFill="0" applyBorder="0" applyAlignment="0" applyProtection="0"/>
  </cellStyleXfs>
  <cellXfs count="32">
    <xf numFmtId="0" fontId="0" fillId="0" borderId="0" xfId="0"/>
    <xf numFmtId="0" fontId="1" fillId="2" borderId="1" xfId="0" applyFont="1" applyFill="1" applyBorder="1"/>
    <xf numFmtId="0" fontId="5" fillId="3" borderId="1" xfId="0" applyFont="1" applyFill="1" applyBorder="1" applyAlignment="1">
      <alignment wrapText="1"/>
    </xf>
    <xf numFmtId="0" fontId="7" fillId="0" borderId="0" xfId="0" applyFont="1"/>
    <xf numFmtId="0" fontId="8" fillId="0" borderId="0" xfId="0" applyFont="1" applyAlignment="1">
      <alignment horizontal="center"/>
    </xf>
    <xf numFmtId="0" fontId="10" fillId="0" borderId="0" xfId="0" applyFont="1" applyAlignment="1">
      <alignment wrapText="1"/>
    </xf>
    <xf numFmtId="0" fontId="11" fillId="2" borderId="1" xfId="0" applyFont="1" applyFill="1" applyBorder="1"/>
    <xf numFmtId="0" fontId="12" fillId="2" borderId="1" xfId="0" applyFont="1" applyFill="1" applyBorder="1"/>
    <xf numFmtId="0" fontId="13" fillId="5" borderId="1" xfId="0" applyFont="1" applyFill="1" applyBorder="1"/>
    <xf numFmtId="164" fontId="13" fillId="5" borderId="1" xfId="0" applyNumberFormat="1" applyFont="1" applyFill="1" applyBorder="1"/>
    <xf numFmtId="0" fontId="12" fillId="0" borderId="0" xfId="0" applyFont="1"/>
    <xf numFmtId="164" fontId="12" fillId="0" borderId="0" xfId="0" applyNumberFormat="1" applyFont="1"/>
    <xf numFmtId="164" fontId="12" fillId="2" borderId="1" xfId="0" applyNumberFormat="1" applyFont="1" applyFill="1" applyBorder="1"/>
    <xf numFmtId="0" fontId="15" fillId="0" borderId="0" xfId="0" applyFont="1"/>
    <xf numFmtId="165" fontId="15" fillId="0" borderId="0" xfId="0" applyNumberFormat="1" applyFont="1"/>
    <xf numFmtId="0" fontId="16" fillId="6" borderId="1" xfId="0" applyFont="1" applyFill="1" applyBorder="1"/>
    <xf numFmtId="0" fontId="17" fillId="0" borderId="0" xfId="0" applyFont="1"/>
    <xf numFmtId="9" fontId="15" fillId="0" borderId="0" xfId="0" applyNumberFormat="1" applyFont="1"/>
    <xf numFmtId="9" fontId="16" fillId="6" borderId="1" xfId="0" applyNumberFormat="1" applyFont="1" applyFill="1" applyBorder="1"/>
    <xf numFmtId="166" fontId="15" fillId="0" borderId="0" xfId="2" applyNumberFormat="1" applyFont="1"/>
    <xf numFmtId="0" fontId="19" fillId="3" borderId="1" xfId="1" applyFont="1" applyFill="1" applyBorder="1" applyAlignment="1">
      <alignment wrapText="1"/>
    </xf>
    <xf numFmtId="9" fontId="6" fillId="4" borderId="1" xfId="0" applyNumberFormat="1" applyFont="1" applyFill="1" applyBorder="1" applyAlignment="1" applyProtection="1">
      <alignment horizontal="center" vertical="center"/>
      <protection locked="0"/>
    </xf>
    <xf numFmtId="0" fontId="6" fillId="4" borderId="1" xfId="0" applyFont="1" applyFill="1" applyBorder="1" applyAlignment="1" applyProtection="1">
      <alignment horizontal="center" vertical="center"/>
      <protection locked="0"/>
    </xf>
    <xf numFmtId="0" fontId="9" fillId="4" borderId="1" xfId="0" applyFont="1" applyFill="1" applyBorder="1" applyAlignment="1" applyProtection="1">
      <alignment horizontal="center" vertical="center"/>
      <protection locked="0"/>
    </xf>
    <xf numFmtId="0" fontId="2" fillId="2" borderId="2" xfId="0" applyFont="1" applyFill="1" applyBorder="1" applyAlignment="1">
      <alignment horizontal="center"/>
    </xf>
    <xf numFmtId="0" fontId="3" fillId="0" borderId="3" xfId="0" applyFont="1" applyBorder="1"/>
    <xf numFmtId="0" fontId="4" fillId="2" borderId="2" xfId="0" applyFont="1" applyFill="1" applyBorder="1" applyAlignment="1">
      <alignment horizontal="left" wrapText="1"/>
    </xf>
    <xf numFmtId="0" fontId="14" fillId="0" borderId="0" xfId="0" applyFont="1" applyAlignment="1">
      <alignment horizontal="center"/>
    </xf>
    <xf numFmtId="0" fontId="0" fillId="0" borderId="0" xfId="0"/>
    <xf numFmtId="0" fontId="19" fillId="2" borderId="2" xfId="0" applyFont="1" applyFill="1" applyBorder="1" applyAlignment="1">
      <alignment horizontal="left" wrapText="1"/>
    </xf>
    <xf numFmtId="0" fontId="20" fillId="0" borderId="3" xfId="0" applyFont="1" applyBorder="1"/>
    <xf numFmtId="0" fontId="6" fillId="4" borderId="1" xfId="0" applyFont="1" applyFill="1" applyBorder="1" applyAlignment="1" applyProtection="1">
      <alignment horizontal="center" vertical="center" wrapText="1"/>
      <protection locked="0"/>
    </xf>
  </cellXfs>
  <cellStyles count="3">
    <cellStyle name="Currency" xfId="2" builtinId="4"/>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1724025</xdr:colOff>
      <xdr:row>0</xdr:row>
      <xdr:rowOff>0</xdr:rowOff>
    </xdr:from>
    <xdr:ext cx="1504950" cy="11811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mberscout.com/how-we-collaborate" TargetMode="External"/><Relationship Id="rId1" Type="http://schemas.openxmlformats.org/officeDocument/2006/relationships/hyperlink" Target="https://meetings.hubspot.com/kemp-lyons"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B1:C1003"/>
  <sheetViews>
    <sheetView showGridLines="0" tabSelected="1" topLeftCell="A3" workbookViewId="0">
      <selection activeCell="C8" sqref="C8"/>
    </sheetView>
  </sheetViews>
  <sheetFormatPr baseColWidth="10" defaultColWidth="12.6640625" defaultRowHeight="15" customHeight="1"/>
  <cols>
    <col min="1" max="1" width="10.1640625" customWidth="1"/>
    <col min="2" max="2" width="60.5" customWidth="1"/>
    <col min="3" max="3" width="14.33203125" customWidth="1"/>
    <col min="4" max="6" width="12.6640625" customWidth="1"/>
  </cols>
  <sheetData>
    <row r="1" spans="2:3" ht="105" customHeight="1">
      <c r="B1" s="1"/>
      <c r="C1" s="1"/>
    </row>
    <row r="2" spans="2:3" ht="67.75" customHeight="1">
      <c r="B2" s="24" t="s">
        <v>0</v>
      </c>
      <c r="C2" s="25"/>
    </row>
    <row r="3" spans="2:3" ht="206.25" customHeight="1">
      <c r="B3" s="26" t="s">
        <v>1</v>
      </c>
      <c r="C3" s="25"/>
    </row>
    <row r="4" spans="2:3" ht="15.75" customHeight="1"/>
    <row r="5" spans="2:3" ht="129" customHeight="1">
      <c r="B5" s="2" t="s">
        <v>95</v>
      </c>
      <c r="C5" s="31" t="s">
        <v>96</v>
      </c>
    </row>
    <row r="6" spans="2:3" ht="29.5" customHeight="1">
      <c r="B6" s="20" t="s">
        <v>99</v>
      </c>
      <c r="C6" s="31"/>
    </row>
    <row r="7" spans="2:3" ht="15.75" customHeight="1"/>
    <row r="8" spans="2:3" ht="117">
      <c r="B8" s="2" t="s">
        <v>2</v>
      </c>
      <c r="C8" s="22" t="s">
        <v>3</v>
      </c>
    </row>
    <row r="9" spans="2:3" ht="17">
      <c r="B9" s="3"/>
      <c r="C9" s="4"/>
    </row>
    <row r="10" spans="2:3" ht="69">
      <c r="B10" s="2" t="s">
        <v>4</v>
      </c>
      <c r="C10" s="23">
        <v>2</v>
      </c>
    </row>
    <row r="11" spans="2:3" ht="17">
      <c r="B11" s="3"/>
      <c r="C11" s="4"/>
    </row>
    <row r="12" spans="2:3" ht="106">
      <c r="B12" s="2" t="s">
        <v>5</v>
      </c>
      <c r="C12" s="23">
        <v>1</v>
      </c>
    </row>
    <row r="13" spans="2:3" ht="17">
      <c r="B13" s="3"/>
      <c r="C13" s="4"/>
    </row>
    <row r="14" spans="2:3" ht="138">
      <c r="B14" s="2" t="s">
        <v>6</v>
      </c>
      <c r="C14" s="22">
        <v>5</v>
      </c>
    </row>
    <row r="15" spans="2:3" ht="17">
      <c r="B15" s="5"/>
      <c r="C15" s="4"/>
    </row>
    <row r="16" spans="2:3" ht="90">
      <c r="B16" s="2" t="s">
        <v>7</v>
      </c>
      <c r="C16" s="21">
        <v>0.2</v>
      </c>
    </row>
    <row r="17" spans="2:3" ht="15.75" customHeight="1"/>
    <row r="18" spans="2:3" ht="15.75" customHeight="1">
      <c r="B18" s="6" t="s">
        <v>8</v>
      </c>
      <c r="C18" s="7"/>
    </row>
    <row r="19" spans="2:3" ht="15.75" customHeight="1">
      <c r="B19" s="8" t="s">
        <v>9</v>
      </c>
      <c r="C19" s="9">
        <f>ROUND('Pre-TopSheet'!B11, -3)</f>
        <v>30000</v>
      </c>
    </row>
    <row r="20" spans="2:3" ht="15.75" customHeight="1">
      <c r="B20" s="8" t="s">
        <v>10</v>
      </c>
      <c r="C20" s="9">
        <f>ROUND('Pre-TopSheet'!B12, -3)</f>
        <v>20000</v>
      </c>
    </row>
    <row r="21" spans="2:3" ht="15.75" customHeight="1">
      <c r="B21" s="10"/>
      <c r="C21" s="11"/>
    </row>
    <row r="22" spans="2:3" ht="15.75" customHeight="1">
      <c r="B22" s="6" t="s">
        <v>11</v>
      </c>
      <c r="C22" s="12"/>
    </row>
    <row r="23" spans="2:3" ht="15.75" customHeight="1">
      <c r="B23" s="8" t="s">
        <v>12</v>
      </c>
      <c r="C23" s="9">
        <f>ROUND('Pre-TopSheet'!B10, -3)</f>
        <v>25000</v>
      </c>
    </row>
    <row r="24" spans="2:3" ht="15.75" customHeight="1">
      <c r="B24" s="8" t="s">
        <v>13</v>
      </c>
      <c r="C24" s="9">
        <f>C23*(1+AgencyMarkup)</f>
        <v>30000</v>
      </c>
    </row>
    <row r="25" spans="2:3" ht="15.75" customHeight="1">
      <c r="B25" s="8" t="s">
        <v>14</v>
      </c>
      <c r="C25" s="9">
        <f>C24-C23</f>
        <v>5000</v>
      </c>
    </row>
    <row r="26" spans="2:3" ht="15.75" customHeight="1"/>
    <row r="27" spans="2:3" ht="33.75" customHeight="1">
      <c r="B27" s="27" t="s">
        <v>15</v>
      </c>
      <c r="C27" s="28"/>
    </row>
    <row r="28" spans="2:3" ht="216" customHeight="1">
      <c r="B28" s="26" t="s">
        <v>98</v>
      </c>
      <c r="C28" s="25"/>
    </row>
    <row r="29" spans="2:3" ht="20.5" customHeight="1">
      <c r="B29" s="29" t="s">
        <v>94</v>
      </c>
      <c r="C29" s="30"/>
    </row>
    <row r="30" spans="2:3" ht="15.75" customHeight="1"/>
    <row r="31" spans="2:3" ht="15.75" customHeight="1"/>
    <row r="32" spans="2: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sheetData>
  <sheetProtection algorithmName="SHA-512" hashValue="99H3HR/AMtrYpFD0+S19+NaUboB9vPV9GBR6v2jOAHpsgflPW45jxE6tT9Z5VBCFqLiYMFaEadMPuCL4P0HIfA==" saltValue="y+5tctUDCYA6nzhjPjF6TQ==" spinCount="100000" sheet="1" objects="1" scenarios="1" selectLockedCells="1"/>
  <mergeCells count="6">
    <mergeCell ref="B2:C2"/>
    <mergeCell ref="B3:C3"/>
    <mergeCell ref="B27:C27"/>
    <mergeCell ref="B28:C28"/>
    <mergeCell ref="B29:C29"/>
    <mergeCell ref="C5:C6"/>
  </mergeCells>
  <dataValidations count="3">
    <dataValidation type="list" allowBlank="1" showErrorMessage="1" sqref="C8" xr:uid="{00000000-0002-0000-0000-000000000000}">
      <formula1>"Scripted,Unscripted"</formula1>
    </dataValidation>
    <dataValidation type="list" allowBlank="1" showErrorMessage="1" sqref="C10" xr:uid="{00000000-0002-0000-0000-000001000000}">
      <formula1>"1,2,3"</formula1>
    </dataValidation>
    <dataValidation type="list" allowBlank="1" showErrorMessage="1" sqref="C5" xr:uid="{0FF4E598-077D-4D49-9308-8ECDB209994F}">
      <formula1>"Full Service, Hybrid, Production Only"</formula1>
    </dataValidation>
  </dataValidations>
  <hyperlinks>
    <hyperlink ref="B29" r:id="rId1" display="https://meetings.hubspot.com/kemp-lyons" xr:uid="{D84C8815-1897-CE47-860B-4B7DC3C9725C}"/>
    <hyperlink ref="B6" r:id="rId2" display="For more information, check out our info sheet on how we collaborate with agencies here. " xr:uid="{5D26971E-22CB-41A8-9FEA-B9E50C68B8E0}"/>
  </hyperlinks>
  <pageMargins left="0.7" right="0.7" top="0.75" bottom="0.75" header="0" footer="0"/>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1000"/>
  <sheetViews>
    <sheetView workbookViewId="0">
      <selection activeCell="B17" sqref="B17"/>
    </sheetView>
  </sheetViews>
  <sheetFormatPr baseColWidth="10" defaultColWidth="12.6640625" defaultRowHeight="15" customHeight="1"/>
  <cols>
    <col min="1" max="6" width="12.6640625" customWidth="1"/>
  </cols>
  <sheetData>
    <row r="1" spans="1:2" ht="15.75" customHeight="1"/>
    <row r="2" spans="1:2" ht="15.75" customHeight="1">
      <c r="A2" s="13" t="s">
        <v>16</v>
      </c>
    </row>
    <row r="3" spans="1:2" ht="15.75" customHeight="1"/>
    <row r="4" spans="1:2" ht="15.75" customHeight="1">
      <c r="A4" s="13" t="s">
        <v>17</v>
      </c>
      <c r="B4" s="14">
        <f>TOTAL_PrePro</f>
        <v>3250</v>
      </c>
    </row>
    <row r="5" spans="1:2" ht="15.75" customHeight="1">
      <c r="A5" s="13" t="s">
        <v>18</v>
      </c>
      <c r="B5" s="14">
        <f>TOTAL_Prod</f>
        <v>9151</v>
      </c>
    </row>
    <row r="6" spans="1:2" ht="15.75" customHeight="1">
      <c r="A6" s="13" t="s">
        <v>19</v>
      </c>
      <c r="B6" s="14">
        <f>TOTAL_Post</f>
        <v>7625</v>
      </c>
    </row>
    <row r="7" spans="1:2" ht="15.75" customHeight="1">
      <c r="A7" s="13" t="s">
        <v>20</v>
      </c>
      <c r="B7" s="14" cm="1">
        <f t="array" ref="B7">_xlfn.SWITCH(ProdValue, 1, 0.03, 2, 0.05, 3, 0.08)*SUM(B4:B6)</f>
        <v>1001.3000000000001</v>
      </c>
    </row>
    <row r="8" spans="1:2" ht="15.75" customHeight="1">
      <c r="A8" s="13" t="s">
        <v>21</v>
      </c>
      <c r="B8" s="14">
        <f>markup*SUM(B4:B6)</f>
        <v>4005.2000000000003</v>
      </c>
    </row>
    <row r="9" spans="1:2" ht="15.75" customHeight="1"/>
    <row r="10" spans="1:2" ht="15.75" customHeight="1">
      <c r="A10" s="13" t="s">
        <v>22</v>
      </c>
      <c r="B10" s="14">
        <f>SUM(B4:B8)</f>
        <v>25032.5</v>
      </c>
    </row>
    <row r="11" spans="1:2" ht="15.75" customHeight="1">
      <c r="A11" s="13" t="s">
        <v>9</v>
      </c>
      <c r="B11" s="14">
        <f>B10*(1+Range)</f>
        <v>30039</v>
      </c>
    </row>
    <row r="12" spans="1:2" ht="15.75" customHeight="1">
      <c r="A12" s="13" t="s">
        <v>10</v>
      </c>
      <c r="B12" s="14">
        <f>B10*(1-Range)</f>
        <v>20026</v>
      </c>
    </row>
    <row r="13" spans="1:2" ht="15.75" customHeight="1"/>
    <row r="14" spans="1:2" ht="15.75" customHeight="1">
      <c r="B14" s="15"/>
    </row>
    <row r="15" spans="1:2" ht="15.75" customHeight="1">
      <c r="A15" s="16" t="s">
        <v>23</v>
      </c>
      <c r="B15" s="17" cm="1">
        <f t="array" ref="B15">_xlfn.SWITCH(ProdValue, 1,B18, 2,B17,3,B16,0.15)</f>
        <v>0.2</v>
      </c>
    </row>
    <row r="16" spans="1:2" ht="15.75" customHeight="1">
      <c r="A16" s="13" t="s">
        <v>24</v>
      </c>
      <c r="B16" s="17">
        <v>0.25</v>
      </c>
    </row>
    <row r="17" spans="1:2" ht="15.75" customHeight="1">
      <c r="A17" s="13" t="s">
        <v>25</v>
      </c>
      <c r="B17" s="17">
        <v>0.2</v>
      </c>
    </row>
    <row r="18" spans="1:2" ht="15.75" customHeight="1">
      <c r="A18" s="13" t="s">
        <v>26</v>
      </c>
      <c r="B18" s="17">
        <v>0.15</v>
      </c>
    </row>
    <row r="19" spans="1:2" ht="15.75" customHeight="1">
      <c r="B19" s="17"/>
    </row>
    <row r="20" spans="1:2" ht="15.75" customHeight="1">
      <c r="B20" s="17"/>
    </row>
    <row r="21" spans="1:2" ht="15.75" customHeight="1">
      <c r="A21" s="16" t="s">
        <v>27</v>
      </c>
      <c r="B21" s="18" cm="1">
        <f t="array" ref="B21">_xlfn.SWITCH(ProdValue, 3,B22, 2,B23,1,B24,0.15)</f>
        <v>0.2</v>
      </c>
    </row>
    <row r="22" spans="1:2" ht="15.75" customHeight="1">
      <c r="A22" s="13" t="s">
        <v>24</v>
      </c>
      <c r="B22" s="17">
        <v>0.3</v>
      </c>
    </row>
    <row r="23" spans="1:2" ht="15.75" customHeight="1">
      <c r="A23" s="13" t="s">
        <v>25</v>
      </c>
      <c r="B23" s="17">
        <v>0.2</v>
      </c>
    </row>
    <row r="24" spans="1:2" ht="15.75" customHeight="1">
      <c r="A24" s="13" t="s">
        <v>26</v>
      </c>
      <c r="B24" s="17">
        <v>0.15</v>
      </c>
    </row>
    <row r="25" spans="1:2" ht="15.75" customHeight="1"/>
    <row r="26" spans="1:2" ht="15.75" customHeight="1"/>
    <row r="27" spans="1:2" ht="15.75" customHeight="1"/>
    <row r="28" spans="1:2" ht="15.75" customHeight="1"/>
    <row r="29" spans="1:2" ht="15.75" customHeight="1"/>
    <row r="30" spans="1:2" ht="15.75" customHeight="1"/>
    <row r="31" spans="1:2" ht="15.75" customHeight="1"/>
    <row r="32" spans="1: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L1000"/>
  <sheetViews>
    <sheetView workbookViewId="0">
      <selection activeCell="B17" sqref="B17"/>
    </sheetView>
  </sheetViews>
  <sheetFormatPr baseColWidth="10" defaultColWidth="12.6640625" defaultRowHeight="15" customHeight="1"/>
  <cols>
    <col min="1" max="1" width="16.1640625" customWidth="1"/>
    <col min="2" max="6" width="12.6640625" customWidth="1"/>
  </cols>
  <sheetData>
    <row r="1" spans="1:12" ht="15.75" customHeight="1">
      <c r="A1" s="13" t="s">
        <v>28</v>
      </c>
      <c r="H1" s="13" t="s">
        <v>29</v>
      </c>
      <c r="I1" s="13">
        <f>SUM(I4:I17)</f>
        <v>3250</v>
      </c>
      <c r="K1" s="13" t="s">
        <v>30</v>
      </c>
      <c r="L1" s="13" t="e">
        <f>#REF!</f>
        <v>#REF!</v>
      </c>
    </row>
    <row r="2" spans="1:12" ht="15.75" customHeight="1">
      <c r="K2" s="13" t="s">
        <v>31</v>
      </c>
      <c r="L2" s="13">
        <f>ProdValue</f>
        <v>2</v>
      </c>
    </row>
    <row r="3" spans="1:12" ht="15.75" customHeight="1">
      <c r="B3" s="13" t="s">
        <v>32</v>
      </c>
      <c r="C3" s="13" t="s">
        <v>33</v>
      </c>
      <c r="D3" s="13" t="s">
        <v>34</v>
      </c>
      <c r="E3" s="13" t="s">
        <v>35</v>
      </c>
      <c r="F3" s="13" t="s">
        <v>36</v>
      </c>
      <c r="G3" s="13" t="s">
        <v>37</v>
      </c>
      <c r="H3" s="13" t="s">
        <v>38</v>
      </c>
      <c r="I3" s="13" t="s">
        <v>39</v>
      </c>
      <c r="K3" s="13" t="s">
        <v>40</v>
      </c>
      <c r="L3" s="13" t="e">
        <f>#REF!</f>
        <v>#REF!</v>
      </c>
    </row>
    <row r="4" spans="1:12" ht="15.75" customHeight="1">
      <c r="A4" s="13" t="s">
        <v>41</v>
      </c>
      <c r="B4" s="13" cm="1">
        <f t="array" ref="B4">_xlfn.SWITCH(COLLAB, "Production Only", 0.25, "Hybrid", 0.25, "Full Service", 0.25)</f>
        <v>0.25</v>
      </c>
      <c r="C4" s="13" cm="1">
        <f t="array" ref="C4">_xlfn.SWITCH(COLLAB, "Production Only", 0.5, "Hybrid", 0.5, "Full Service", 0.75)</f>
        <v>0.75</v>
      </c>
      <c r="D4" s="13" cm="1">
        <f t="array" ref="D4">_xlfn.SWITCH(COLLAB, "Production Only", 1.5, "Hybrid", 2, "Full Service", 2.25)</f>
        <v>2.25</v>
      </c>
      <c r="E4" s="15">
        <f t="shared" ref="E4:E9" si="0">IF(ProdValue=1, B4, 1)</f>
        <v>1</v>
      </c>
      <c r="F4" s="15">
        <f t="shared" ref="F4:F9" si="1">IF(ProdValue=2, C4, 1)</f>
        <v>0.75</v>
      </c>
      <c r="G4" s="15">
        <f t="shared" ref="G4:G9" si="2">IF(ProdValue=3, D4, 1)</f>
        <v>1</v>
      </c>
      <c r="H4" s="13">
        <f>ExecProd</f>
        <v>750</v>
      </c>
      <c r="I4" s="13">
        <f t="shared" ref="I4:I9" si="3">E4*F4*G4*H4</f>
        <v>562.5</v>
      </c>
      <c r="K4" s="13" t="s">
        <v>42</v>
      </c>
      <c r="L4" s="13">
        <f>shootdays</f>
        <v>1</v>
      </c>
    </row>
    <row r="5" spans="1:12" ht="15.75" customHeight="1">
      <c r="A5" s="13" t="s">
        <v>43</v>
      </c>
      <c r="B5" s="13" cm="1">
        <f t="array" ref="B5">_xlfn.SWITCH(COLLAB, "Production Only", 1, "Hybrid", 1.25, "Full Service", 1.25)</f>
        <v>1.25</v>
      </c>
      <c r="C5" s="13" cm="1">
        <f t="array" ref="C5">_xlfn.SWITCH(COLLAB, "Production Only", 1.75, "Hybrid", 2, "Full Service", 2.5)</f>
        <v>2.5</v>
      </c>
      <c r="D5" s="13" cm="1">
        <f t="array" ref="D5">_xlfn.SWITCH(COLLAB, "Production Only", 6, "Hybrid", 7, "Full Service", 8)</f>
        <v>8</v>
      </c>
      <c r="E5" s="15">
        <f t="shared" si="0"/>
        <v>1</v>
      </c>
      <c r="F5" s="15">
        <f t="shared" si="1"/>
        <v>2.5</v>
      </c>
      <c r="G5" s="15">
        <f t="shared" si="2"/>
        <v>1</v>
      </c>
      <c r="H5" s="13">
        <f>AsstProd</f>
        <v>550</v>
      </c>
      <c r="I5" s="13">
        <f t="shared" si="3"/>
        <v>1375</v>
      </c>
      <c r="K5" s="13" t="s">
        <v>44</v>
      </c>
      <c r="L5" s="13">
        <f>runtime</f>
        <v>5</v>
      </c>
    </row>
    <row r="6" spans="1:12" ht="15.75" customHeight="1">
      <c r="A6" s="13" t="s">
        <v>45</v>
      </c>
      <c r="B6" s="13">
        <v>0</v>
      </c>
      <c r="C6" s="13">
        <v>0.25</v>
      </c>
      <c r="D6" s="13">
        <v>1</v>
      </c>
      <c r="E6" s="15">
        <f t="shared" si="0"/>
        <v>1</v>
      </c>
      <c r="F6" s="15">
        <f t="shared" si="1"/>
        <v>0.25</v>
      </c>
      <c r="G6" s="15">
        <f t="shared" si="2"/>
        <v>1</v>
      </c>
      <c r="H6" s="13">
        <f>Cin</f>
        <v>1500</v>
      </c>
      <c r="I6" s="13">
        <f t="shared" si="3"/>
        <v>375</v>
      </c>
    </row>
    <row r="7" spans="1:12" ht="15.75" customHeight="1">
      <c r="A7" s="13" t="s">
        <v>46</v>
      </c>
      <c r="B7" s="13">
        <v>0</v>
      </c>
      <c r="C7" s="13">
        <v>0</v>
      </c>
      <c r="D7" s="13">
        <v>0.66</v>
      </c>
      <c r="E7" s="15">
        <f t="shared" si="0"/>
        <v>1</v>
      </c>
      <c r="F7" s="15">
        <f t="shared" si="1"/>
        <v>0</v>
      </c>
      <c r="G7" s="15">
        <f t="shared" si="2"/>
        <v>1</v>
      </c>
      <c r="H7" s="13">
        <f>gafac</f>
        <v>750</v>
      </c>
      <c r="I7" s="13">
        <f t="shared" si="3"/>
        <v>0</v>
      </c>
    </row>
    <row r="8" spans="1:12" ht="15.75" customHeight="1">
      <c r="A8" s="13" t="s">
        <v>47</v>
      </c>
      <c r="B8" s="13">
        <v>0</v>
      </c>
      <c r="C8" s="13">
        <v>0</v>
      </c>
      <c r="D8" s="13">
        <v>1.5</v>
      </c>
      <c r="E8" s="15">
        <f t="shared" si="0"/>
        <v>1</v>
      </c>
      <c r="F8" s="15">
        <f t="shared" si="1"/>
        <v>0</v>
      </c>
      <c r="G8" s="15">
        <f t="shared" si="2"/>
        <v>1</v>
      </c>
      <c r="H8" s="13">
        <f>crafty</f>
        <v>450</v>
      </c>
      <c r="I8" s="13">
        <f t="shared" si="3"/>
        <v>0</v>
      </c>
    </row>
    <row r="9" spans="1:12" ht="15.75" customHeight="1">
      <c r="A9" s="13" t="s">
        <v>48</v>
      </c>
      <c r="B9" s="13" cm="1">
        <f t="array" ref="B9">_xlfn.SWITCH(COLLAB, "Production Only", 0, "Hybrid", 0.5, "Full Service", 0.5)</f>
        <v>0.5</v>
      </c>
      <c r="C9" s="13" cm="1">
        <f t="array" ref="C9">_xlfn.SWITCH(COLLAB, "Production Only", 0, "Hybrid", 0.5, "Full Service", 0.75)</f>
        <v>0.75</v>
      </c>
      <c r="D9" s="13" cm="1">
        <f t="array" ref="D9">_xlfn.SWITCH(COLLAB, "Production Only", 0.5, "Hybrid", 1, "Full Service", 2.5)</f>
        <v>2.5</v>
      </c>
      <c r="E9" s="15">
        <f t="shared" si="0"/>
        <v>1</v>
      </c>
      <c r="F9" s="15">
        <f t="shared" si="1"/>
        <v>0.75</v>
      </c>
      <c r="G9" s="15">
        <f t="shared" si="2"/>
        <v>1</v>
      </c>
      <c r="H9" s="13">
        <f>dir</f>
        <v>1250</v>
      </c>
      <c r="I9" s="13">
        <f t="shared" si="3"/>
        <v>937.5</v>
      </c>
    </row>
    <row r="10" spans="1:12" ht="15.75" customHeight="1"/>
    <row r="11" spans="1:12" ht="15.75" customHeight="1"/>
    <row r="12" spans="1:12" ht="15.75" customHeight="1">
      <c r="A12" s="13" t="s">
        <v>49</v>
      </c>
    </row>
    <row r="13" spans="1:12" ht="15.75" customHeight="1">
      <c r="A13" s="13" t="s">
        <v>50</v>
      </c>
      <c r="B13" s="13">
        <v>0</v>
      </c>
      <c r="C13" s="13">
        <v>2</v>
      </c>
      <c r="D13" s="13">
        <v>4</v>
      </c>
      <c r="E13" s="15">
        <f>IF(AND(ProdValue=1, genre="scripted"), B13, 0)</f>
        <v>0</v>
      </c>
      <c r="F13" s="15">
        <f>IF(AND(ProdValue=2, genre="scripted"), C13, 0)</f>
        <v>0</v>
      </c>
      <c r="G13" s="15">
        <f>IF(AND(ProdValue=3, genre="scripted"), D13, 0)</f>
        <v>0</v>
      </c>
      <c r="H13" s="13">
        <f>prodDesign</f>
        <v>750</v>
      </c>
      <c r="I13" s="13">
        <f t="shared" ref="I13:I16" si="4">E13*F13*G13*H13</f>
        <v>0</v>
      </c>
    </row>
    <row r="14" spans="1:12" ht="15.75" customHeight="1">
      <c r="A14" s="13" t="s">
        <v>51</v>
      </c>
      <c r="B14" s="13">
        <v>0</v>
      </c>
      <c r="C14" s="13" cm="1">
        <f t="array" ref="C14">_xlfn.SWITCH(COLLAB, "Production Only", 0, "Hybrid", 1, "Full Service", 1)</f>
        <v>1</v>
      </c>
      <c r="D14" s="13" cm="1">
        <f t="array" ref="D14">_xlfn.SWITCH(COLLAB, "Production Only", 0, "Hybrid", 1.5, "Full Service", 3)</f>
        <v>3</v>
      </c>
      <c r="E14" s="15">
        <f>IF(AND(ProdValue=1, genre="scripted"), B14, 0)</f>
        <v>0</v>
      </c>
      <c r="F14" s="15">
        <f>IF(AND(ProdValue=2, genre="scripted"), C14, 0)</f>
        <v>0</v>
      </c>
      <c r="G14" s="15">
        <f>IF(AND(ProdValue=3, genre="scripted"), D14, 0)</f>
        <v>0</v>
      </c>
      <c r="H14" s="13">
        <f>boards</f>
        <v>700</v>
      </c>
      <c r="I14" s="13">
        <f t="shared" si="4"/>
        <v>0</v>
      </c>
    </row>
    <row r="15" spans="1:12" ht="15.75" customHeight="1">
      <c r="A15" s="13" t="s">
        <v>52</v>
      </c>
      <c r="B15" s="13" cm="1">
        <f t="array" ref="B15">_xlfn.SWITCH(COLLAB, "Production Only", 0.5, "Hybrid", 0.75, "Full Service", 0.75)</f>
        <v>0.75</v>
      </c>
      <c r="C15" s="13" cm="1">
        <f t="array" ref="C15">_xlfn.SWITCH(COLLAB, "Production Only", 1, "Hybrid", 1.5, "Full Service", 1.5)</f>
        <v>1.5</v>
      </c>
      <c r="D15" s="13" cm="1">
        <f t="array" ref="D15">_xlfn.SWITCH(COLLAB, "Production Only", 0.75, "Hybrid", 1.75, "Full Service", 2)</f>
        <v>2</v>
      </c>
      <c r="E15" s="15">
        <f>IF(AND(ProdValue=1, genre="scripted"), B15, 0)</f>
        <v>0</v>
      </c>
      <c r="F15" s="15">
        <f>IF(AND(ProdValue=2, genre="scripted"), C15, 0)</f>
        <v>0</v>
      </c>
      <c r="G15" s="15">
        <f>IF(AND(ProdValue=3, genre="scripted"), D15, 0)</f>
        <v>0</v>
      </c>
      <c r="H15" s="13">
        <f>ExecProd</f>
        <v>750</v>
      </c>
      <c r="I15" s="13">
        <f t="shared" si="4"/>
        <v>0</v>
      </c>
    </row>
    <row r="16" spans="1:12" ht="15.75" customHeight="1">
      <c r="A16" s="13" t="s">
        <v>53</v>
      </c>
      <c r="B16" s="13" cm="1">
        <f t="array" ref="B16">_xlfn.SWITCH(COLLAB, "Production Only", 0, "Hybrid", 0.5, "Full Service", 1)</f>
        <v>1</v>
      </c>
      <c r="C16" s="13" cm="1">
        <f t="array" ref="C16">_xlfn.SWITCH(COLLAB, "Production Only", 0, "Hybrid", 0.75, "Full Service", 1.5)</f>
        <v>1.5</v>
      </c>
      <c r="D16" s="13" cm="1">
        <f t="array" ref="D16">_xlfn.SWITCH(COLLAB, "Production Only", 0, "Hybrid", 1, "Full Service", 2)</f>
        <v>2</v>
      </c>
      <c r="E16" s="15">
        <f>IF(AND(ProdValue=1, genre="scripted"), B16, 0)</f>
        <v>0</v>
      </c>
      <c r="F16" s="15">
        <f>IF(AND(ProdValue=2, genre="scripted"), C16, 0)</f>
        <v>0</v>
      </c>
      <c r="G16" s="15">
        <f>IF(AND(ProdValue=3, genre="scripted"), D16, 0)</f>
        <v>0</v>
      </c>
      <c r="H16" s="13">
        <f>cdir*0.8</f>
        <v>1000</v>
      </c>
      <c r="I16" s="13">
        <f t="shared" si="4"/>
        <v>0</v>
      </c>
    </row>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M1000"/>
  <sheetViews>
    <sheetView workbookViewId="0">
      <selection activeCell="D18" sqref="D18"/>
    </sheetView>
  </sheetViews>
  <sheetFormatPr baseColWidth="10" defaultColWidth="12.6640625" defaultRowHeight="15" customHeight="1"/>
  <cols>
    <col min="1" max="1" width="16.1640625" customWidth="1"/>
    <col min="2" max="4" width="5.83203125" customWidth="1"/>
    <col min="5" max="7" width="9.83203125" customWidth="1"/>
    <col min="9" max="9" width="9.6640625" customWidth="1"/>
  </cols>
  <sheetData>
    <row r="1" spans="1:13" ht="15.75" customHeight="1">
      <c r="A1" s="13" t="s">
        <v>18</v>
      </c>
      <c r="H1" s="13" t="s">
        <v>29</v>
      </c>
      <c r="J1" s="13">
        <f>SUM(J4:J40)</f>
        <v>9151</v>
      </c>
      <c r="L1" s="13" t="s">
        <v>30</v>
      </c>
      <c r="M1" s="13" t="e">
        <f>#REF!</f>
        <v>#REF!</v>
      </c>
    </row>
    <row r="2" spans="1:13" ht="15.75" customHeight="1">
      <c r="L2" s="13" t="s">
        <v>31</v>
      </c>
      <c r="M2" s="13">
        <f>ProdValue</f>
        <v>2</v>
      </c>
    </row>
    <row r="3" spans="1:13" ht="15.75" customHeight="1">
      <c r="B3" s="13" t="s">
        <v>32</v>
      </c>
      <c r="C3" s="13" t="s">
        <v>33</v>
      </c>
      <c r="D3" s="13" t="s">
        <v>34</v>
      </c>
      <c r="E3" s="13" t="s">
        <v>35</v>
      </c>
      <c r="F3" s="13" t="s">
        <v>36</v>
      </c>
      <c r="G3" s="13" t="s">
        <v>37</v>
      </c>
      <c r="H3" s="13" t="s">
        <v>38</v>
      </c>
      <c r="I3" s="13" t="s">
        <v>54</v>
      </c>
      <c r="J3" s="13" t="s">
        <v>39</v>
      </c>
      <c r="L3" s="13" t="s">
        <v>40</v>
      </c>
      <c r="M3" s="13" t="e">
        <f>#REF!</f>
        <v>#REF!</v>
      </c>
    </row>
    <row r="4" spans="1:13" ht="15.75" customHeight="1">
      <c r="A4" s="13" t="s">
        <v>41</v>
      </c>
      <c r="B4" s="13" cm="1">
        <f t="array" ref="B4">_xlfn.SWITCH(COLLAB, "Production Only", 1, "Hybrid", 0, "Full Service", 0)</f>
        <v>0</v>
      </c>
      <c r="C4" s="13" cm="1">
        <f t="array" ref="C4">_xlfn.SWITCH(COLLAB, "Production Only", 1, "Hybrid", 0, "Full Service", 0)</f>
        <v>0</v>
      </c>
      <c r="D4" s="13" cm="1">
        <f t="array" ref="D4">_xlfn.SWITCH(COLLAB, "Production Only", 1, "Hybrid", 0, "Full Service", 0)</f>
        <v>0</v>
      </c>
      <c r="E4" s="15">
        <f t="shared" ref="E4:E17" si="0">IF(ProdValue=1, B4, 1)</f>
        <v>1</v>
      </c>
      <c r="F4" s="15">
        <f t="shared" ref="F4:F17" si="1">IF(ProdValue=2, C4, 1)</f>
        <v>0</v>
      </c>
      <c r="G4" s="15">
        <f t="shared" ref="G4:G17" si="2">IF(ProdValue=3, D4, 1)</f>
        <v>1</v>
      </c>
      <c r="H4" s="13">
        <f>ExecProd</f>
        <v>750</v>
      </c>
      <c r="I4" s="13">
        <f t="shared" ref="I4:I17" si="3">shootdays</f>
        <v>1</v>
      </c>
      <c r="J4" s="13">
        <f t="shared" ref="J4:J17" si="4">E4*F4*G4*H4*I4</f>
        <v>0</v>
      </c>
      <c r="L4" s="13" t="s">
        <v>42</v>
      </c>
      <c r="M4" s="13">
        <f>shootdays</f>
        <v>1</v>
      </c>
    </row>
    <row r="5" spans="1:13" ht="15.75" customHeight="1">
      <c r="A5" s="13" t="s">
        <v>43</v>
      </c>
      <c r="B5" s="13">
        <v>0</v>
      </c>
      <c r="C5" s="13">
        <v>1</v>
      </c>
      <c r="D5" s="13">
        <v>1</v>
      </c>
      <c r="E5" s="15">
        <f t="shared" si="0"/>
        <v>1</v>
      </c>
      <c r="F5" s="15">
        <f t="shared" si="1"/>
        <v>1</v>
      </c>
      <c r="G5" s="15">
        <f t="shared" si="2"/>
        <v>1</v>
      </c>
      <c r="H5" s="13">
        <f>AsstProd</f>
        <v>550</v>
      </c>
      <c r="I5" s="13">
        <f t="shared" si="3"/>
        <v>1</v>
      </c>
      <c r="J5" s="13">
        <f t="shared" si="4"/>
        <v>550</v>
      </c>
      <c r="L5" s="13" t="s">
        <v>44</v>
      </c>
      <c r="M5" s="13">
        <f>runtime</f>
        <v>5</v>
      </c>
    </row>
    <row r="6" spans="1:13" ht="15.75" customHeight="1">
      <c r="A6" s="13" t="s">
        <v>45</v>
      </c>
      <c r="B6" s="13">
        <v>1</v>
      </c>
      <c r="C6" s="13">
        <v>1</v>
      </c>
      <c r="D6" s="13">
        <v>1</v>
      </c>
      <c r="E6" s="15">
        <f t="shared" si="0"/>
        <v>1</v>
      </c>
      <c r="F6" s="15">
        <f t="shared" si="1"/>
        <v>1</v>
      </c>
      <c r="G6" s="15">
        <f t="shared" si="2"/>
        <v>1</v>
      </c>
      <c r="H6" s="13">
        <f>Cin</f>
        <v>1500</v>
      </c>
      <c r="I6" s="13">
        <f t="shared" si="3"/>
        <v>1</v>
      </c>
      <c r="J6" s="13">
        <f t="shared" si="4"/>
        <v>1500</v>
      </c>
    </row>
    <row r="7" spans="1:13" ht="15.75" customHeight="1">
      <c r="A7" s="13" t="s">
        <v>55</v>
      </c>
      <c r="B7" s="13">
        <v>0</v>
      </c>
      <c r="C7" s="13">
        <v>0</v>
      </c>
      <c r="D7" s="13">
        <v>1</v>
      </c>
      <c r="E7" s="15">
        <f t="shared" si="0"/>
        <v>1</v>
      </c>
      <c r="F7" s="15">
        <f t="shared" si="1"/>
        <v>0</v>
      </c>
      <c r="G7" s="15">
        <f t="shared" si="2"/>
        <v>1</v>
      </c>
      <c r="H7" s="13">
        <f>gafac</f>
        <v>750</v>
      </c>
      <c r="I7" s="13">
        <f t="shared" si="3"/>
        <v>1</v>
      </c>
      <c r="J7" s="13">
        <f t="shared" si="4"/>
        <v>0</v>
      </c>
    </row>
    <row r="8" spans="1:13" ht="15.75" customHeight="1">
      <c r="A8" s="13" t="s">
        <v>56</v>
      </c>
      <c r="B8" s="13">
        <v>0</v>
      </c>
      <c r="C8" s="13">
        <v>1</v>
      </c>
      <c r="D8" s="13">
        <v>1</v>
      </c>
      <c r="E8" s="15">
        <f t="shared" si="0"/>
        <v>1</v>
      </c>
      <c r="F8" s="15">
        <f t="shared" si="1"/>
        <v>1</v>
      </c>
      <c r="G8" s="15">
        <f t="shared" si="2"/>
        <v>1</v>
      </c>
      <c r="H8" s="13">
        <f>gafac</f>
        <v>750</v>
      </c>
      <c r="I8" s="13">
        <f t="shared" si="3"/>
        <v>1</v>
      </c>
      <c r="J8" s="13">
        <f t="shared" si="4"/>
        <v>750</v>
      </c>
    </row>
    <row r="9" spans="1:13" ht="15.75" customHeight="1">
      <c r="A9" s="13" t="s">
        <v>46</v>
      </c>
      <c r="B9" s="13">
        <v>0</v>
      </c>
      <c r="C9" s="13">
        <v>1</v>
      </c>
      <c r="D9" s="13">
        <f>IF(genre="Unscripted", 1, 1)</f>
        <v>1</v>
      </c>
      <c r="E9" s="15">
        <f t="shared" si="0"/>
        <v>1</v>
      </c>
      <c r="F9" s="15">
        <f t="shared" si="1"/>
        <v>1</v>
      </c>
      <c r="G9" s="15">
        <f t="shared" si="2"/>
        <v>1</v>
      </c>
      <c r="H9" s="13">
        <f>gafac</f>
        <v>750</v>
      </c>
      <c r="I9" s="13">
        <f t="shared" si="3"/>
        <v>1</v>
      </c>
      <c r="J9" s="13">
        <f t="shared" si="4"/>
        <v>750</v>
      </c>
    </row>
    <row r="10" spans="1:13" ht="15.75" customHeight="1">
      <c r="A10" s="13" t="s">
        <v>57</v>
      </c>
      <c r="B10" s="13">
        <v>0</v>
      </c>
      <c r="C10" s="13">
        <v>0</v>
      </c>
      <c r="D10" s="13">
        <f>IF(genre="Unscripted", 0, 1)</f>
        <v>0</v>
      </c>
      <c r="E10" s="15">
        <f t="shared" si="0"/>
        <v>1</v>
      </c>
      <c r="F10" s="15">
        <f t="shared" si="1"/>
        <v>0</v>
      </c>
      <c r="G10" s="15">
        <f t="shared" si="2"/>
        <v>1</v>
      </c>
      <c r="H10" s="13">
        <f>grip+50</f>
        <v>650</v>
      </c>
      <c r="I10" s="13">
        <f t="shared" si="3"/>
        <v>1</v>
      </c>
      <c r="J10" s="13">
        <f t="shared" si="4"/>
        <v>0</v>
      </c>
    </row>
    <row r="11" spans="1:13" ht="15.75" customHeight="1">
      <c r="A11" s="13" t="s">
        <v>58</v>
      </c>
      <c r="B11" s="13">
        <v>0</v>
      </c>
      <c r="C11" s="13">
        <v>0</v>
      </c>
      <c r="D11" s="13">
        <f>IF(genre="Unscripted", 0, 2)</f>
        <v>0</v>
      </c>
      <c r="E11" s="15">
        <f t="shared" si="0"/>
        <v>1</v>
      </c>
      <c r="F11" s="15">
        <f t="shared" si="1"/>
        <v>0</v>
      </c>
      <c r="G11" s="15">
        <f t="shared" si="2"/>
        <v>1</v>
      </c>
      <c r="H11" s="13">
        <f>grip</f>
        <v>600</v>
      </c>
      <c r="I11" s="13">
        <f t="shared" si="3"/>
        <v>1</v>
      </c>
      <c r="J11" s="13">
        <f t="shared" si="4"/>
        <v>0</v>
      </c>
    </row>
    <row r="12" spans="1:13" ht="15.75" customHeight="1">
      <c r="A12" s="13" t="s">
        <v>59</v>
      </c>
      <c r="B12" s="13">
        <v>0</v>
      </c>
      <c r="C12" s="13">
        <v>0</v>
      </c>
      <c r="D12" s="13">
        <f>IF(genre="Unscripted", 0, 2)</f>
        <v>0</v>
      </c>
      <c r="E12" s="15">
        <f t="shared" si="0"/>
        <v>1</v>
      </c>
      <c r="F12" s="15">
        <f t="shared" si="1"/>
        <v>0</v>
      </c>
      <c r="G12" s="15">
        <f t="shared" si="2"/>
        <v>1</v>
      </c>
      <c r="H12" s="13">
        <f>grip</f>
        <v>600</v>
      </c>
      <c r="I12" s="13">
        <f t="shared" si="3"/>
        <v>1</v>
      </c>
      <c r="J12" s="13">
        <f t="shared" si="4"/>
        <v>0</v>
      </c>
    </row>
    <row r="13" spans="1:13" ht="15.75" customHeight="1">
      <c r="A13" s="13" t="s">
        <v>60</v>
      </c>
      <c r="B13" s="13">
        <v>1</v>
      </c>
      <c r="C13" s="13">
        <v>1</v>
      </c>
      <c r="D13" s="13">
        <v>2</v>
      </c>
      <c r="E13" s="15">
        <f t="shared" si="0"/>
        <v>1</v>
      </c>
      <c r="F13" s="15">
        <f t="shared" si="1"/>
        <v>1</v>
      </c>
      <c r="G13" s="15">
        <f t="shared" si="2"/>
        <v>1</v>
      </c>
      <c r="H13" s="13">
        <f>pa</f>
        <v>350</v>
      </c>
      <c r="I13" s="13">
        <f t="shared" si="3"/>
        <v>1</v>
      </c>
      <c r="J13" s="13">
        <f t="shared" si="4"/>
        <v>350</v>
      </c>
    </row>
    <row r="14" spans="1:13" ht="15.75" customHeight="1">
      <c r="A14" s="13" t="s">
        <v>47</v>
      </c>
      <c r="B14" s="13">
        <v>0</v>
      </c>
      <c r="C14" s="13">
        <v>0</v>
      </c>
      <c r="D14" s="13">
        <v>1.5</v>
      </c>
      <c r="E14" s="15">
        <f t="shared" si="0"/>
        <v>1</v>
      </c>
      <c r="F14" s="15">
        <f t="shared" si="1"/>
        <v>0</v>
      </c>
      <c r="G14" s="15">
        <f t="shared" si="2"/>
        <v>1</v>
      </c>
      <c r="H14" s="13">
        <f>crafty</f>
        <v>450</v>
      </c>
      <c r="I14" s="13">
        <f t="shared" si="3"/>
        <v>1</v>
      </c>
      <c r="J14" s="13">
        <f t="shared" si="4"/>
        <v>0</v>
      </c>
    </row>
    <row r="15" spans="1:13" ht="15.75" customHeight="1">
      <c r="A15" s="13" t="s">
        <v>61</v>
      </c>
      <c r="B15" s="13">
        <v>1</v>
      </c>
      <c r="C15" s="13">
        <v>1</v>
      </c>
      <c r="D15" s="13">
        <v>1</v>
      </c>
      <c r="E15" s="15">
        <f t="shared" si="0"/>
        <v>1</v>
      </c>
      <c r="F15" s="15">
        <f t="shared" si="1"/>
        <v>1</v>
      </c>
      <c r="G15" s="15">
        <f t="shared" si="2"/>
        <v>1</v>
      </c>
      <c r="H15" s="13">
        <f>sound</f>
        <v>1000</v>
      </c>
      <c r="I15" s="13">
        <f t="shared" si="3"/>
        <v>1</v>
      </c>
      <c r="J15" s="13">
        <f t="shared" si="4"/>
        <v>1000</v>
      </c>
    </row>
    <row r="16" spans="1:13" ht="15.75" customHeight="1">
      <c r="A16" s="13" t="s">
        <v>62</v>
      </c>
      <c r="B16" s="13" cm="1">
        <f t="array" ref="B16">_xlfn.SWITCH(COLLAB, "Production Only", 0, "Hybrid", 1, "Full Service", 1)</f>
        <v>1</v>
      </c>
      <c r="C16" s="13" cm="1">
        <f t="array" ref="C16">_xlfn.SWITCH(COLLAB, "Production Only", 0, "Hybrid", 1, "Full Service", 1)</f>
        <v>1</v>
      </c>
      <c r="D16" s="13" cm="1">
        <f t="array" ref="D16">_xlfn.SWITCH(COLLAB, "Production Only", 0, "Hybrid", 1, "Full Service", 1)</f>
        <v>1</v>
      </c>
      <c r="E16" s="15">
        <f t="shared" si="0"/>
        <v>1</v>
      </c>
      <c r="F16" s="15">
        <f t="shared" si="1"/>
        <v>1</v>
      </c>
      <c r="G16" s="15">
        <f t="shared" si="2"/>
        <v>1</v>
      </c>
      <c r="H16" s="13">
        <f>dir</f>
        <v>1250</v>
      </c>
      <c r="I16" s="13">
        <f t="shared" si="3"/>
        <v>1</v>
      </c>
      <c r="J16" s="13">
        <f t="shared" si="4"/>
        <v>1250</v>
      </c>
    </row>
    <row r="17" spans="1:10" ht="15.75" customHeight="1">
      <c r="A17" s="13" t="s">
        <v>97</v>
      </c>
      <c r="B17" s="13">
        <v>0</v>
      </c>
      <c r="C17" s="13">
        <v>0</v>
      </c>
      <c r="D17" s="13">
        <f>IF(genre="Unscripted", 0, 1)</f>
        <v>0</v>
      </c>
      <c r="E17" s="15">
        <f t="shared" si="0"/>
        <v>1</v>
      </c>
      <c r="F17" s="15">
        <f t="shared" si="1"/>
        <v>0</v>
      </c>
      <c r="G17" s="15">
        <f t="shared" si="2"/>
        <v>1</v>
      </c>
      <c r="H17" s="13">
        <v>700</v>
      </c>
      <c r="I17" s="13">
        <f t="shared" si="3"/>
        <v>1</v>
      </c>
      <c r="J17" s="13">
        <f t="shared" si="4"/>
        <v>0</v>
      </c>
    </row>
    <row r="18" spans="1:10" ht="15.75" customHeight="1"/>
    <row r="19" spans="1:10" ht="15.75" customHeight="1">
      <c r="A19" s="13" t="s">
        <v>63</v>
      </c>
      <c r="B19" s="13">
        <v>1500</v>
      </c>
      <c r="C19" s="13">
        <f>IF(genre="Unscripted", 3000, 4000)</f>
        <v>3000</v>
      </c>
      <c r="D19" s="13">
        <f>IF(genre="Unscripted", 4000, 8000)</f>
        <v>4000</v>
      </c>
      <c r="E19" s="15">
        <f>IF(ProdValue=1, B19, 1)</f>
        <v>1</v>
      </c>
      <c r="F19" s="15">
        <f>IF(ProdValue=2, C19, 1)</f>
        <v>3000</v>
      </c>
      <c r="G19" s="15">
        <f>IF(ProdValue=3, D19, 1)</f>
        <v>1</v>
      </c>
      <c r="H19" s="13">
        <v>1</v>
      </c>
      <c r="I19" s="13">
        <f>shootdays</f>
        <v>1</v>
      </c>
      <c r="J19" s="13">
        <f>E19*F19*G19*H19*I19</f>
        <v>3000</v>
      </c>
    </row>
    <row r="20" spans="1:10" ht="15.75" customHeight="1"/>
    <row r="21" spans="1:10" ht="15.75" customHeight="1"/>
    <row r="22" spans="1:10" ht="15.75" customHeight="1">
      <c r="A22" s="16" t="s">
        <v>49</v>
      </c>
    </row>
    <row r="23" spans="1:10" ht="15.75" customHeight="1">
      <c r="A23" s="13" t="s">
        <v>50</v>
      </c>
      <c r="B23" s="13">
        <v>0</v>
      </c>
      <c r="C23" s="13">
        <v>1</v>
      </c>
      <c r="D23" s="13">
        <v>1</v>
      </c>
      <c r="E23" s="15">
        <f t="shared" ref="E23:E29" si="5">IF(AND(ProdValue=1, genre="scripted"), B23, 1)</f>
        <v>1</v>
      </c>
      <c r="F23" s="15">
        <f t="shared" ref="F23:F29" si="6">IF(AND(ProdValue=2, genre="scripted"), C23, 1)</f>
        <v>1</v>
      </c>
      <c r="G23" s="15">
        <f t="shared" ref="G23:G29" si="7">IF(AND(ProdValue=3, genre="scripted"), D23, 1)</f>
        <v>1</v>
      </c>
      <c r="H23" s="13">
        <f>prodDesign</f>
        <v>750</v>
      </c>
      <c r="I23" s="13">
        <f>IF(genre="scripted", shootdays, 0)</f>
        <v>0</v>
      </c>
      <c r="J23" s="13">
        <f>E23*F23*G23*H23*I23</f>
        <v>0</v>
      </c>
    </row>
    <row r="24" spans="1:10" ht="15.75" customHeight="1">
      <c r="A24" s="13" t="s">
        <v>64</v>
      </c>
      <c r="B24" s="13">
        <v>300</v>
      </c>
      <c r="C24" s="13">
        <v>2000</v>
      </c>
      <c r="D24" s="13">
        <v>4000</v>
      </c>
      <c r="E24" s="15">
        <f t="shared" si="5"/>
        <v>1</v>
      </c>
      <c r="F24" s="15">
        <f t="shared" si="6"/>
        <v>1</v>
      </c>
      <c r="G24" s="15">
        <f t="shared" si="7"/>
        <v>1</v>
      </c>
      <c r="H24" s="13">
        <v>1</v>
      </c>
      <c r="J24" s="13">
        <f>E24*F24*G24*H24</f>
        <v>1</v>
      </c>
    </row>
    <row r="25" spans="1:10" ht="15.75" customHeight="1">
      <c r="A25" s="13" t="s">
        <v>65</v>
      </c>
      <c r="B25" s="13">
        <v>0</v>
      </c>
      <c r="C25" s="13">
        <v>1</v>
      </c>
      <c r="D25" s="13">
        <v>2</v>
      </c>
      <c r="E25" s="15">
        <f t="shared" si="5"/>
        <v>1</v>
      </c>
      <c r="F25" s="15">
        <f t="shared" si="6"/>
        <v>1</v>
      </c>
      <c r="G25" s="15">
        <f t="shared" si="7"/>
        <v>1</v>
      </c>
      <c r="H25" s="13">
        <f>prodDesign-250</f>
        <v>500</v>
      </c>
      <c r="I25" s="13">
        <f>IF(genre="scripted", shootdays, 0)</f>
        <v>0</v>
      </c>
      <c r="J25" s="13">
        <f t="shared" ref="J25:J29" si="8">E25*F25*G25*H25*I25</f>
        <v>0</v>
      </c>
    </row>
    <row r="26" spans="1:10" ht="15.75" customHeight="1">
      <c r="A26" s="13" t="s">
        <v>66</v>
      </c>
      <c r="B26" s="13">
        <v>0</v>
      </c>
      <c r="C26" s="13">
        <v>1</v>
      </c>
      <c r="D26" s="13">
        <v>1</v>
      </c>
      <c r="E26" s="15">
        <f t="shared" si="5"/>
        <v>1</v>
      </c>
      <c r="F26" s="15">
        <f t="shared" si="6"/>
        <v>1</v>
      </c>
      <c r="G26" s="15">
        <f t="shared" si="7"/>
        <v>1</v>
      </c>
      <c r="H26" s="13">
        <f>HMU</f>
        <v>700</v>
      </c>
      <c r="I26" s="13">
        <f>IF(genre="scripted", shootdays, 0)</f>
        <v>0</v>
      </c>
      <c r="J26" s="13">
        <f t="shared" si="8"/>
        <v>0</v>
      </c>
    </row>
    <row r="27" spans="1:10" ht="15.75" customHeight="1">
      <c r="A27" s="13" t="s">
        <v>67</v>
      </c>
      <c r="B27" s="13">
        <v>0</v>
      </c>
      <c r="C27" s="13">
        <v>0</v>
      </c>
      <c r="D27" s="13">
        <v>1</v>
      </c>
      <c r="E27" s="15">
        <f t="shared" si="5"/>
        <v>1</v>
      </c>
      <c r="F27" s="15">
        <f t="shared" si="6"/>
        <v>1</v>
      </c>
      <c r="G27" s="15">
        <f t="shared" si="7"/>
        <v>1</v>
      </c>
      <c r="H27" s="13">
        <f>HMU-150</f>
        <v>550</v>
      </c>
      <c r="I27" s="13">
        <f>IF(genre="scripted", shootdays, 0)</f>
        <v>0</v>
      </c>
      <c r="J27" s="13">
        <f t="shared" si="8"/>
        <v>0</v>
      </c>
    </row>
    <row r="28" spans="1:10" ht="15.75" customHeight="1">
      <c r="A28" s="13" t="s">
        <v>68</v>
      </c>
      <c r="B28" s="13">
        <v>0</v>
      </c>
      <c r="C28" s="13">
        <v>0</v>
      </c>
      <c r="D28" s="13">
        <v>1</v>
      </c>
      <c r="E28" s="15">
        <f t="shared" si="5"/>
        <v>1</v>
      </c>
      <c r="F28" s="15">
        <f t="shared" si="6"/>
        <v>1</v>
      </c>
      <c r="G28" s="15">
        <f t="shared" si="7"/>
        <v>1</v>
      </c>
      <c r="H28" s="13">
        <v>650</v>
      </c>
      <c r="I28" s="13">
        <f>IF(genre="scripted", shootdays, 0)</f>
        <v>0</v>
      </c>
      <c r="J28" s="13">
        <f t="shared" si="8"/>
        <v>0</v>
      </c>
    </row>
    <row r="29" spans="1:10" ht="15.75" customHeight="1">
      <c r="A29" s="13" t="s">
        <v>69</v>
      </c>
      <c r="B29" s="13">
        <v>800</v>
      </c>
      <c r="C29" s="13">
        <v>1500</v>
      </c>
      <c r="D29" s="13">
        <v>3500</v>
      </c>
      <c r="E29" s="15">
        <f t="shared" si="5"/>
        <v>1</v>
      </c>
      <c r="F29" s="15">
        <f t="shared" si="6"/>
        <v>1</v>
      </c>
      <c r="G29" s="15">
        <f t="shared" si="7"/>
        <v>1</v>
      </c>
      <c r="H29" s="13">
        <v>1</v>
      </c>
      <c r="I29" s="13">
        <f>IF(genre="scripted", shootdays, 0)</f>
        <v>0</v>
      </c>
      <c r="J29" s="13">
        <f t="shared" si="8"/>
        <v>0</v>
      </c>
    </row>
    <row r="30" spans="1:10" ht="15.75" customHeight="1"/>
    <row r="31" spans="1:10" ht="15.75" customHeight="1">
      <c r="A31" s="13" t="s">
        <v>70</v>
      </c>
      <c r="B31" s="13">
        <v>1</v>
      </c>
      <c r="C31" s="13">
        <v>2</v>
      </c>
      <c r="D31" s="13">
        <v>2</v>
      </c>
      <c r="E31" s="15">
        <f>IF(AND(ProdValue=1, genre="scripted"), B31, 1)</f>
        <v>1</v>
      </c>
      <c r="F31" s="15">
        <f>IF(AND(ProdValue=2, genre="scripted"), C31, 1)</f>
        <v>1</v>
      </c>
      <c r="G31" s="15">
        <f>IF(AND(ProdValue=3, genre="scripted"), D31, 1)</f>
        <v>1</v>
      </c>
      <c r="H31" s="13">
        <v>1200</v>
      </c>
      <c r="I31" s="13">
        <f>IF(genre="scripted", shootdays, 0)</f>
        <v>0</v>
      </c>
      <c r="J31" s="13">
        <f t="shared" ref="J31:J33" si="9">E31*F31*G31*H31*I31</f>
        <v>0</v>
      </c>
    </row>
    <row r="32" spans="1:10" ht="15.75" customHeight="1">
      <c r="A32" s="13" t="s">
        <v>71</v>
      </c>
      <c r="B32" s="13">
        <v>0</v>
      </c>
      <c r="C32" s="13">
        <v>2</v>
      </c>
      <c r="D32" s="13">
        <v>4</v>
      </c>
      <c r="E32" s="15">
        <f>IF(AND(ProdValue=1, genre="scripted"), B32, 1)</f>
        <v>1</v>
      </c>
      <c r="F32" s="15">
        <f>IF(AND(ProdValue=2, genre="scripted"), C32, 1)</f>
        <v>1</v>
      </c>
      <c r="G32" s="15">
        <f>IF(AND(ProdValue=3, genre="scripted"), D32, 1)</f>
        <v>1</v>
      </c>
      <c r="H32" s="13">
        <v>750</v>
      </c>
      <c r="I32" s="13">
        <f>IF(genre="scripted", shootdays, 0)</f>
        <v>0</v>
      </c>
      <c r="J32" s="13">
        <f t="shared" si="9"/>
        <v>0</v>
      </c>
    </row>
    <row r="33" spans="1:10" ht="15.75" customHeight="1">
      <c r="A33" s="13" t="s">
        <v>72</v>
      </c>
      <c r="B33" s="13">
        <v>0</v>
      </c>
      <c r="C33" s="13">
        <v>3</v>
      </c>
      <c r="D33" s="13">
        <v>6</v>
      </c>
      <c r="E33" s="15">
        <f>IF(AND(ProdValue=1, genre="scripted"), B33, 1)</f>
        <v>1</v>
      </c>
      <c r="F33" s="15">
        <f>IF(AND(ProdValue=2, genre="scripted"), C33, 1)</f>
        <v>1</v>
      </c>
      <c r="G33" s="15">
        <f>IF(AND(ProdValue=3, genre="scripted"), D33, 1)</f>
        <v>1</v>
      </c>
      <c r="H33" s="13">
        <v>400</v>
      </c>
      <c r="I33" s="13">
        <f>IF(genre="scripted", shootdays, 0)</f>
        <v>0</v>
      </c>
      <c r="J33" s="13">
        <f t="shared" si="9"/>
        <v>0</v>
      </c>
    </row>
    <row r="34" spans="1:10" ht="15.75" customHeight="1"/>
    <row r="35" spans="1:10" ht="15.75" customHeight="1"/>
    <row r="36" spans="1:10" ht="15.75" customHeight="1"/>
    <row r="37" spans="1:10" ht="15.75" customHeight="1"/>
    <row r="38" spans="1:10" ht="15.75" customHeight="1"/>
    <row r="39" spans="1:10" ht="15.75" customHeight="1"/>
    <row r="40" spans="1:10" ht="15.75" customHeight="1"/>
    <row r="41" spans="1:10" ht="15.75" customHeight="1"/>
    <row r="42" spans="1:10" ht="15.75" customHeight="1"/>
    <row r="43" spans="1:10" ht="15.75" customHeight="1"/>
    <row r="44" spans="1:10" ht="15.75" customHeight="1"/>
    <row r="45" spans="1:10" ht="15.75" customHeight="1"/>
    <row r="46" spans="1:10" ht="15.75" customHeight="1"/>
    <row r="47" spans="1:10" ht="15.75" customHeight="1"/>
    <row r="48" spans="1:10"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L1000"/>
  <sheetViews>
    <sheetView workbookViewId="0">
      <selection activeCell="D9" sqref="D9"/>
    </sheetView>
  </sheetViews>
  <sheetFormatPr baseColWidth="10" defaultColWidth="12.6640625" defaultRowHeight="15" customHeight="1"/>
  <cols>
    <col min="1" max="1" width="16.1640625" customWidth="1"/>
    <col min="2" max="4" width="5.83203125" customWidth="1"/>
    <col min="5" max="7" width="9.83203125" customWidth="1"/>
  </cols>
  <sheetData>
    <row r="1" spans="1:12" ht="15.75" customHeight="1">
      <c r="A1" s="13" t="s">
        <v>73</v>
      </c>
      <c r="H1" s="13" t="s">
        <v>29</v>
      </c>
      <c r="I1" s="13">
        <f>SUM(I4:I12)</f>
        <v>7625</v>
      </c>
      <c r="K1" s="13" t="s">
        <v>30</v>
      </c>
      <c r="L1" s="13" t="e">
        <f>#REF!</f>
        <v>#REF!</v>
      </c>
    </row>
    <row r="2" spans="1:12" ht="15.75" customHeight="1">
      <c r="K2" s="13" t="s">
        <v>31</v>
      </c>
      <c r="L2" s="13">
        <f>ProdValue</f>
        <v>2</v>
      </c>
    </row>
    <row r="3" spans="1:12" ht="15.75" customHeight="1">
      <c r="B3" s="13" t="s">
        <v>32</v>
      </c>
      <c r="C3" s="13" t="s">
        <v>33</v>
      </c>
      <c r="D3" s="13" t="s">
        <v>34</v>
      </c>
      <c r="E3" s="13" t="s">
        <v>35</v>
      </c>
      <c r="F3" s="13" t="s">
        <v>36</v>
      </c>
      <c r="G3" s="13" t="s">
        <v>37</v>
      </c>
      <c r="H3" s="13" t="s">
        <v>38</v>
      </c>
      <c r="I3" s="13" t="s">
        <v>39</v>
      </c>
      <c r="K3" s="13" t="s">
        <v>40</v>
      </c>
      <c r="L3" s="13" t="e">
        <f>#REF!</f>
        <v>#REF!</v>
      </c>
    </row>
    <row r="4" spans="1:12" ht="15.75" customHeight="1">
      <c r="A4" s="13" t="s">
        <v>62</v>
      </c>
      <c r="B4" s="13" cm="1">
        <f t="array" ref="B4">_xlfn.SWITCH(COLLAB, "Production Only", 0, "Hybrid", 0, "Full Service", 0)</f>
        <v>0</v>
      </c>
      <c r="C4" s="13" cm="1">
        <f t="array" ref="C4">_xlfn.SWITCH(COLLAB, "Production Only", 0, "Hybrid", 0.25, "Full Service", 0.25)</f>
        <v>0.25</v>
      </c>
      <c r="D4" s="13" cm="1">
        <f t="array" ref="D4">_xlfn.SWITCH(COLLAB, "Production Only", 0, "Hybrid", 0.75, "Full Service", 1)</f>
        <v>1</v>
      </c>
      <c r="E4" s="15">
        <f t="shared" ref="E4:E9" si="0">IF(ProdValue=1, B4, 1)</f>
        <v>1</v>
      </c>
      <c r="F4" s="15">
        <f t="shared" ref="F4:F9" si="1">IF(ProdValue=2, C4, 1)</f>
        <v>0.25</v>
      </c>
      <c r="G4" s="15">
        <f t="shared" ref="G4:G9" si="2">IF(ProdValue=3, D4, 1)</f>
        <v>1</v>
      </c>
      <c r="H4" s="13">
        <f>dir</f>
        <v>1250</v>
      </c>
      <c r="I4" s="13">
        <f t="shared" ref="I4:I9" si="3">E4*F4*G4*H4</f>
        <v>312.5</v>
      </c>
      <c r="K4" s="13" t="s">
        <v>42</v>
      </c>
      <c r="L4" s="13">
        <f>shootdays</f>
        <v>1</v>
      </c>
    </row>
    <row r="5" spans="1:12" ht="15.75" customHeight="1">
      <c r="A5" s="13" t="s">
        <v>74</v>
      </c>
      <c r="B5" s="13">
        <v>0.75</v>
      </c>
      <c r="C5" s="13">
        <v>1.25</v>
      </c>
      <c r="D5" s="13">
        <v>3</v>
      </c>
      <c r="E5" s="15">
        <f t="shared" si="0"/>
        <v>1</v>
      </c>
      <c r="F5" s="15">
        <f t="shared" si="1"/>
        <v>1.25</v>
      </c>
      <c r="G5" s="15">
        <f t="shared" si="2"/>
        <v>1</v>
      </c>
      <c r="H5" s="13">
        <f>AsstProd</f>
        <v>550</v>
      </c>
      <c r="I5" s="13">
        <f t="shared" si="3"/>
        <v>687.5</v>
      </c>
      <c r="K5" s="13" t="s">
        <v>44</v>
      </c>
      <c r="L5" s="13">
        <f>runtime</f>
        <v>5</v>
      </c>
    </row>
    <row r="6" spans="1:12" ht="15.75" customHeight="1">
      <c r="A6" s="13" t="s">
        <v>75</v>
      </c>
      <c r="B6" s="13">
        <f>MROUND(Editdays, 0.5)</f>
        <v>4.5</v>
      </c>
      <c r="C6" s="15">
        <f>MROUND(Editdays, 0.5)</f>
        <v>4.5</v>
      </c>
      <c r="D6" s="15">
        <f>MROUND(Editdays, 0.5)</f>
        <v>4.5</v>
      </c>
      <c r="E6" s="15">
        <f t="shared" si="0"/>
        <v>1</v>
      </c>
      <c r="F6" s="15">
        <f t="shared" si="1"/>
        <v>4.5</v>
      </c>
      <c r="G6" s="15">
        <f t="shared" si="2"/>
        <v>1</v>
      </c>
      <c r="H6" s="13">
        <f>edit</f>
        <v>650</v>
      </c>
      <c r="I6" s="13">
        <f t="shared" si="3"/>
        <v>2925</v>
      </c>
    </row>
    <row r="7" spans="1:12" ht="15.75" customHeight="1">
      <c r="A7" s="13" t="s">
        <v>76</v>
      </c>
      <c r="B7" s="13">
        <v>0.5</v>
      </c>
      <c r="C7" s="13">
        <v>1</v>
      </c>
      <c r="D7" s="13">
        <v>2</v>
      </c>
      <c r="E7" s="15">
        <f t="shared" si="0"/>
        <v>1</v>
      </c>
      <c r="F7" s="15">
        <f t="shared" si="1"/>
        <v>1</v>
      </c>
      <c r="G7" s="15">
        <f t="shared" si="2"/>
        <v>1</v>
      </c>
      <c r="H7" s="13">
        <f>soundpost</f>
        <v>700</v>
      </c>
      <c r="I7" s="13">
        <f t="shared" si="3"/>
        <v>700</v>
      </c>
    </row>
    <row r="8" spans="1:12" ht="15.75" customHeight="1">
      <c r="A8" s="13" t="s">
        <v>77</v>
      </c>
      <c r="B8" s="13">
        <v>0.75</v>
      </c>
      <c r="C8" s="13">
        <f>1+(0.1*runtime)</f>
        <v>1.5</v>
      </c>
      <c r="D8" s="13">
        <v>3</v>
      </c>
      <c r="E8" s="15">
        <f t="shared" si="0"/>
        <v>1</v>
      </c>
      <c r="F8" s="15">
        <f t="shared" si="1"/>
        <v>1.5</v>
      </c>
      <c r="G8" s="15">
        <f t="shared" si="2"/>
        <v>1</v>
      </c>
      <c r="H8" s="13">
        <f>color</f>
        <v>1500</v>
      </c>
      <c r="I8" s="13">
        <f t="shared" si="3"/>
        <v>2250</v>
      </c>
    </row>
    <row r="9" spans="1:12" ht="15.75" customHeight="1">
      <c r="A9" s="13" t="s">
        <v>78</v>
      </c>
      <c r="B9" s="13">
        <v>0.25</v>
      </c>
      <c r="C9" s="13">
        <v>1</v>
      </c>
      <c r="D9" s="13">
        <f>IF(genre="Unscripted", 2, 4)</f>
        <v>2</v>
      </c>
      <c r="E9" s="15">
        <f t="shared" si="0"/>
        <v>1</v>
      </c>
      <c r="F9" s="15">
        <f t="shared" si="1"/>
        <v>1</v>
      </c>
      <c r="G9" s="15">
        <f t="shared" si="2"/>
        <v>1</v>
      </c>
      <c r="H9" s="13">
        <f>anim</f>
        <v>750</v>
      </c>
      <c r="I9" s="13">
        <f t="shared" si="3"/>
        <v>750</v>
      </c>
    </row>
    <row r="10" spans="1:12" ht="15.75" customHeight="1">
      <c r="E10" s="15"/>
      <c r="F10" s="15"/>
      <c r="G10" s="15"/>
    </row>
    <row r="11" spans="1:12" ht="15.75" customHeight="1">
      <c r="E11" s="15"/>
      <c r="F11" s="15"/>
      <c r="G11" s="15"/>
    </row>
    <row r="12" spans="1:12" ht="15.75" customHeight="1">
      <c r="E12" s="15"/>
      <c r="F12" s="15"/>
      <c r="G12" s="15"/>
    </row>
    <row r="13" spans="1:12" ht="15.75" customHeight="1">
      <c r="E13" s="15"/>
      <c r="F13" s="15"/>
      <c r="G13" s="15"/>
    </row>
    <row r="14" spans="1:12" ht="15.75" customHeight="1">
      <c r="B14" s="13" t="s">
        <v>79</v>
      </c>
      <c r="E14" s="15"/>
      <c r="F14" s="15"/>
      <c r="G14" s="15"/>
    </row>
    <row r="15" spans="1:12" ht="15.75" customHeight="1">
      <c r="B15" s="13" t="s">
        <v>80</v>
      </c>
      <c r="C15" s="13" t="s">
        <v>81</v>
      </c>
      <c r="D15" s="13" t="s">
        <v>82</v>
      </c>
      <c r="E15" s="15" t="s">
        <v>83</v>
      </c>
      <c r="F15" s="15"/>
      <c r="G15" s="15"/>
    </row>
    <row r="16" spans="1:12" ht="15.75" customHeight="1">
      <c r="B16" s="13">
        <f>0.4*shootdays+(0.2*ProdValue)</f>
        <v>0.8</v>
      </c>
      <c r="C16" s="13">
        <f>1+(runtime*0.15)+(0.5*shootdays)</f>
        <v>2.25</v>
      </c>
      <c r="D16" s="13">
        <f>0.15*runtime+(ProdValue*0.3)</f>
        <v>1.35</v>
      </c>
      <c r="E16" s="15">
        <f>SUM(B16:D16)</f>
        <v>4.4000000000000004</v>
      </c>
      <c r="F16" s="15"/>
      <c r="G16" s="15"/>
    </row>
    <row r="17" spans="1:7" ht="15.75" customHeight="1">
      <c r="E17" s="15"/>
      <c r="F17" s="15"/>
      <c r="G17" s="15"/>
    </row>
    <row r="18" spans="1:7" ht="15.75" customHeight="1"/>
    <row r="19" spans="1:7" ht="15.75" customHeight="1">
      <c r="E19" s="15"/>
      <c r="F19" s="15"/>
      <c r="G19" s="15"/>
    </row>
    <row r="20" spans="1:7" ht="15.75" customHeight="1"/>
    <row r="21" spans="1:7" ht="15.75" customHeight="1"/>
    <row r="22" spans="1:7" ht="15.75" customHeight="1">
      <c r="A22" s="16"/>
    </row>
    <row r="23" spans="1:7" ht="15.75" customHeight="1">
      <c r="E23" s="15"/>
      <c r="F23" s="15"/>
      <c r="G23" s="15"/>
    </row>
    <row r="24" spans="1:7" ht="15.75" customHeight="1">
      <c r="E24" s="15"/>
      <c r="F24" s="15"/>
      <c r="G24" s="15"/>
    </row>
    <row r="25" spans="1:7" ht="15.75" customHeight="1">
      <c r="E25" s="15"/>
      <c r="F25" s="15"/>
      <c r="G25" s="15"/>
    </row>
    <row r="26" spans="1:7" ht="15.75" customHeight="1">
      <c r="E26" s="15"/>
      <c r="F26" s="15"/>
      <c r="G26" s="15"/>
    </row>
    <row r="27" spans="1:7" ht="15.75" customHeight="1">
      <c r="E27" s="15"/>
      <c r="F27" s="15"/>
      <c r="G27" s="15"/>
    </row>
    <row r="28" spans="1:7" ht="15.75" customHeight="1">
      <c r="E28" s="15"/>
      <c r="F28" s="15"/>
      <c r="G28" s="15"/>
    </row>
    <row r="29" spans="1:7" ht="15.75" customHeight="1">
      <c r="E29" s="15"/>
      <c r="F29" s="15"/>
      <c r="G29" s="15"/>
    </row>
    <row r="30" spans="1:7" ht="15.75" customHeight="1">
      <c r="E30" s="15"/>
      <c r="F30" s="15"/>
      <c r="G30" s="15"/>
    </row>
    <row r="31" spans="1:7" ht="15.75" customHeight="1">
      <c r="E31" s="15"/>
      <c r="F31" s="15"/>
      <c r="G31" s="15"/>
    </row>
    <row r="32" spans="1:7"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B1000"/>
  <sheetViews>
    <sheetView zoomScale="150" zoomScaleNormal="150" workbookViewId="0">
      <selection activeCell="B18" sqref="B18"/>
    </sheetView>
  </sheetViews>
  <sheetFormatPr baseColWidth="10" defaultColWidth="12.6640625" defaultRowHeight="15" customHeight="1"/>
  <cols>
    <col min="1" max="1" width="13.83203125" customWidth="1"/>
    <col min="2" max="6" width="12.6640625" customWidth="1"/>
  </cols>
  <sheetData>
    <row r="1" spans="1:2" ht="15.75" customHeight="1"/>
    <row r="2" spans="1:2" ht="15.75" customHeight="1">
      <c r="A2" s="13" t="s">
        <v>41</v>
      </c>
      <c r="B2" s="19">
        <v>750</v>
      </c>
    </row>
    <row r="3" spans="1:2" ht="15.75" customHeight="1">
      <c r="A3" s="13" t="s">
        <v>84</v>
      </c>
      <c r="B3" s="19">
        <v>550</v>
      </c>
    </row>
    <row r="4" spans="1:2" ht="15.75" customHeight="1">
      <c r="A4" s="13" t="s">
        <v>85</v>
      </c>
      <c r="B4" s="19">
        <v>1250</v>
      </c>
    </row>
    <row r="5" spans="1:2" ht="15.75" customHeight="1">
      <c r="A5" s="13" t="s">
        <v>62</v>
      </c>
      <c r="B5" s="19">
        <v>1250</v>
      </c>
    </row>
    <row r="6" spans="1:2" ht="15.75" customHeight="1">
      <c r="A6" s="13" t="s">
        <v>45</v>
      </c>
      <c r="B6" s="19">
        <v>1500</v>
      </c>
    </row>
    <row r="7" spans="1:2" ht="15.75" customHeight="1">
      <c r="A7" s="13" t="s">
        <v>86</v>
      </c>
      <c r="B7" s="19">
        <v>750</v>
      </c>
    </row>
    <row r="8" spans="1:2" ht="15.75" customHeight="1">
      <c r="A8" s="13" t="s">
        <v>87</v>
      </c>
      <c r="B8" s="19">
        <v>600</v>
      </c>
    </row>
    <row r="9" spans="1:2" ht="15.75" customHeight="1">
      <c r="A9" s="13" t="s">
        <v>88</v>
      </c>
      <c r="B9" s="19">
        <v>750</v>
      </c>
    </row>
    <row r="10" spans="1:2" ht="15.75" customHeight="1">
      <c r="A10" s="13" t="s">
        <v>60</v>
      </c>
      <c r="B10" s="19">
        <v>350</v>
      </c>
    </row>
    <row r="11" spans="1:2" ht="15.75" customHeight="1">
      <c r="A11" s="13" t="s">
        <v>89</v>
      </c>
      <c r="B11" s="19">
        <v>1000</v>
      </c>
    </row>
    <row r="12" spans="1:2" ht="15.75" customHeight="1">
      <c r="A12" s="13" t="s">
        <v>75</v>
      </c>
      <c r="B12" s="19">
        <v>650</v>
      </c>
    </row>
    <row r="13" spans="1:2" ht="15.75" customHeight="1">
      <c r="A13" s="13" t="s">
        <v>90</v>
      </c>
      <c r="B13" s="19">
        <v>700</v>
      </c>
    </row>
    <row r="14" spans="1:2" ht="15.75" customHeight="1">
      <c r="A14" s="13" t="s">
        <v>91</v>
      </c>
      <c r="B14" s="19">
        <v>1500</v>
      </c>
    </row>
    <row r="15" spans="1:2" ht="15.75" customHeight="1">
      <c r="A15" s="13" t="s">
        <v>92</v>
      </c>
      <c r="B15" s="19">
        <v>750</v>
      </c>
    </row>
    <row r="16" spans="1:2" ht="15.75" customHeight="1">
      <c r="A16" s="13" t="s">
        <v>93</v>
      </c>
      <c r="B16" s="19">
        <v>700</v>
      </c>
    </row>
    <row r="17" spans="1:2" ht="15.75" customHeight="1">
      <c r="A17" s="13" t="s">
        <v>47</v>
      </c>
      <c r="B17" s="19">
        <v>450</v>
      </c>
    </row>
    <row r="18" spans="1:2" ht="15.75" customHeight="1">
      <c r="A18" s="13" t="s">
        <v>66</v>
      </c>
      <c r="B18" s="19">
        <v>700</v>
      </c>
    </row>
    <row r="19" spans="1:2" ht="15.75" customHeight="1"/>
    <row r="20" spans="1:2" ht="15.75" customHeight="1"/>
    <row r="21" spans="1:2" ht="15.75" customHeight="1"/>
    <row r="22" spans="1:2" ht="15.75" customHeight="1"/>
    <row r="23" spans="1:2" ht="15.75" customHeight="1"/>
    <row r="24" spans="1:2" ht="15.75" customHeight="1"/>
    <row r="25" spans="1:2" ht="15.75" customHeight="1"/>
    <row r="26" spans="1:2" ht="15.75" customHeight="1"/>
    <row r="27" spans="1:2" ht="15.75" customHeight="1"/>
    <row r="28" spans="1:2" ht="15.75" customHeight="1"/>
    <row r="29" spans="1:2" ht="15.75" customHeight="1"/>
    <row r="30" spans="1:2" ht="15.75" customHeight="1"/>
    <row r="31" spans="1:2" ht="15.75" customHeight="1"/>
    <row r="32" spans="1: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29</vt:i4>
      </vt:variant>
    </vt:vector>
  </HeadingPairs>
  <TitlesOfParts>
    <vt:vector size="35" baseType="lpstr">
      <vt:lpstr>Top Sheet</vt:lpstr>
      <vt:lpstr>Pre-TopSheet</vt:lpstr>
      <vt:lpstr>PrePro</vt:lpstr>
      <vt:lpstr>Production</vt:lpstr>
      <vt:lpstr>Post-Production</vt:lpstr>
      <vt:lpstr>Rates</vt:lpstr>
      <vt:lpstr>AgencyMarkup</vt:lpstr>
      <vt:lpstr>anim</vt:lpstr>
      <vt:lpstr>AsstProd</vt:lpstr>
      <vt:lpstr>boards</vt:lpstr>
      <vt:lpstr>cdir</vt:lpstr>
      <vt:lpstr>Cin</vt:lpstr>
      <vt:lpstr>COLLAB</vt:lpstr>
      <vt:lpstr>color</vt:lpstr>
      <vt:lpstr>crafty</vt:lpstr>
      <vt:lpstr>dir</vt:lpstr>
      <vt:lpstr>edit</vt:lpstr>
      <vt:lpstr>Editdays</vt:lpstr>
      <vt:lpstr>ExecProd</vt:lpstr>
      <vt:lpstr>gafac</vt:lpstr>
      <vt:lpstr>genre</vt:lpstr>
      <vt:lpstr>grip</vt:lpstr>
      <vt:lpstr>HMU</vt:lpstr>
      <vt:lpstr>markup</vt:lpstr>
      <vt:lpstr>pa</vt:lpstr>
      <vt:lpstr>prodDesign</vt:lpstr>
      <vt:lpstr>ProdValue</vt:lpstr>
      <vt:lpstr>Range</vt:lpstr>
      <vt:lpstr>runtime</vt:lpstr>
      <vt:lpstr>shootdays</vt:lpstr>
      <vt:lpstr>sound</vt:lpstr>
      <vt:lpstr>soundpost</vt:lpstr>
      <vt:lpstr>TOTAL_Post</vt:lpstr>
      <vt:lpstr>TOTAL_PrePro</vt:lpstr>
      <vt:lpstr>TOTAL_Prod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created xsi:type="dcterms:W3CDTF">2023-03-07T18:03:27Z</dcterms:created>
  <dcterms:modified xsi:type="dcterms:W3CDTF">2023-07-06T13:51:04Z</dcterms:modified>
</cp:coreProperties>
</file>